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60" activeTab="9"/>
  </bookViews>
  <sheets>
    <sheet name="M1" sheetId="3" r:id="rId1"/>
    <sheet name="M2" sheetId="1" r:id="rId2"/>
    <sheet name="M3" sheetId="2" r:id="rId3"/>
    <sheet name="M4" sheetId="6" r:id="rId4"/>
    <sheet name="M5" sheetId="9" r:id="rId5"/>
    <sheet name="M6" sheetId="10" r:id="rId6"/>
    <sheet name="M7" sheetId="8" r:id="rId7"/>
    <sheet name="M8" sheetId="5" r:id="rId8"/>
    <sheet name="M9" sheetId="7" r:id="rId9"/>
    <sheet name="TOTALE" sheetId="4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7" i="10" l="1"/>
  <c r="F107" i="10"/>
  <c r="D107" i="10"/>
  <c r="E79" i="10"/>
  <c r="F79" i="10"/>
  <c r="D79" i="10"/>
  <c r="E55" i="10"/>
  <c r="F103" i="10"/>
  <c r="E103" i="10"/>
  <c r="D103" i="10"/>
  <c r="F90" i="10"/>
  <c r="E90" i="10"/>
  <c r="D90" i="10"/>
  <c r="F86" i="10"/>
  <c r="E86" i="10"/>
  <c r="D86" i="10"/>
  <c r="F55" i="10"/>
  <c r="D55" i="10"/>
  <c r="E92" i="9" l="1"/>
  <c r="D92" i="9"/>
  <c r="C92" i="9"/>
  <c r="E80" i="9"/>
  <c r="D80" i="9"/>
  <c r="C80" i="9"/>
  <c r="E74" i="9"/>
  <c r="D74" i="9"/>
  <c r="C74" i="9"/>
  <c r="E70" i="9"/>
  <c r="D70" i="9"/>
  <c r="C70" i="9"/>
  <c r="E66" i="9"/>
  <c r="C66" i="9"/>
  <c r="D65" i="9"/>
  <c r="D63" i="9"/>
  <c r="D60" i="9"/>
  <c r="D58" i="9"/>
  <c r="D56" i="9"/>
  <c r="D54" i="9"/>
  <c r="D52" i="9"/>
  <c r="D47" i="9"/>
  <c r="D44" i="9"/>
  <c r="D42" i="9"/>
  <c r="D40" i="9"/>
  <c r="D38" i="9"/>
  <c r="D36" i="9"/>
  <c r="D34" i="9"/>
  <c r="D33" i="9"/>
  <c r="D31" i="9"/>
  <c r="D29" i="9"/>
  <c r="D28" i="9"/>
  <c r="D26" i="9"/>
  <c r="D24" i="9"/>
  <c r="D21" i="9"/>
  <c r="D19" i="9"/>
  <c r="D18" i="9"/>
  <c r="D15" i="9"/>
  <c r="D13" i="9"/>
  <c r="D12" i="9"/>
  <c r="D9" i="9"/>
  <c r="D66" i="9" s="1"/>
  <c r="F82" i="8"/>
  <c r="E82" i="8"/>
  <c r="D82" i="8"/>
  <c r="F58" i="8"/>
  <c r="E58" i="8"/>
  <c r="F80" i="8"/>
  <c r="E80" i="8"/>
  <c r="D80" i="8"/>
  <c r="F78" i="8"/>
  <c r="E78" i="8"/>
  <c r="D78" i="8"/>
  <c r="F75" i="8"/>
  <c r="D75" i="8"/>
  <c r="E74" i="8"/>
  <c r="E73" i="8"/>
  <c r="E72" i="8"/>
  <c r="E75" i="8" s="1"/>
  <c r="F71" i="8"/>
  <c r="E71" i="8"/>
  <c r="D70" i="8"/>
  <c r="D69" i="8"/>
  <c r="D68" i="8"/>
  <c r="D67" i="8"/>
  <c r="D66" i="8"/>
  <c r="D71" i="8" s="1"/>
  <c r="F65" i="8"/>
  <c r="E65" i="8"/>
  <c r="D65" i="8"/>
  <c r="F61" i="8"/>
  <c r="E61" i="8"/>
  <c r="D61" i="8"/>
  <c r="D57" i="8"/>
  <c r="D56" i="8"/>
  <c r="D55" i="8"/>
  <c r="D51" i="8"/>
  <c r="D48" i="8"/>
  <c r="D47" i="8"/>
  <c r="D44" i="8"/>
  <c r="D43" i="8"/>
  <c r="D42" i="8"/>
  <c r="D41" i="8"/>
  <c r="D40" i="8"/>
  <c r="D39" i="8"/>
  <c r="D38" i="8"/>
  <c r="F37" i="8"/>
  <c r="D37" i="8"/>
  <c r="D34" i="8"/>
  <c r="F33" i="8"/>
  <c r="D33" i="8"/>
  <c r="D32" i="8"/>
  <c r="D31" i="8"/>
  <c r="F29" i="8"/>
  <c r="D29" i="8"/>
  <c r="F27" i="8"/>
  <c r="D27" i="8"/>
  <c r="D24" i="8"/>
  <c r="D22" i="8"/>
  <c r="D20" i="8"/>
  <c r="D19" i="8"/>
  <c r="D18" i="8"/>
  <c r="D17" i="8"/>
  <c r="D16" i="8"/>
  <c r="D13" i="8"/>
  <c r="D58" i="8" s="1"/>
  <c r="D12" i="8"/>
  <c r="D11" i="8"/>
  <c r="D10" i="8"/>
  <c r="D8" i="8"/>
  <c r="E69" i="7" l="1"/>
  <c r="D69" i="7"/>
  <c r="C69" i="7"/>
  <c r="D51" i="7"/>
  <c r="D39" i="7"/>
  <c r="E67" i="7"/>
  <c r="C67" i="7"/>
  <c r="E65" i="7"/>
  <c r="D65" i="7"/>
  <c r="C65" i="7"/>
  <c r="E61" i="7"/>
  <c r="D61" i="7"/>
  <c r="C61" i="7"/>
  <c r="E59" i="7"/>
  <c r="D59" i="7"/>
  <c r="C59" i="7"/>
  <c r="E55" i="7"/>
  <c r="D55" i="7"/>
  <c r="C55" i="7"/>
  <c r="E51" i="7"/>
  <c r="C51" i="7"/>
  <c r="E39" i="7"/>
  <c r="C37" i="7"/>
  <c r="C36" i="7"/>
  <c r="C35" i="7"/>
  <c r="C34" i="7"/>
  <c r="C33" i="7"/>
  <c r="C32" i="7"/>
  <c r="C31" i="7"/>
  <c r="C30" i="7"/>
  <c r="C27" i="7"/>
  <c r="C26" i="7"/>
  <c r="C25" i="7"/>
  <c r="C24" i="7"/>
  <c r="C22" i="7"/>
  <c r="C21" i="7"/>
  <c r="C20" i="7"/>
  <c r="C19" i="7"/>
  <c r="C18" i="7"/>
  <c r="C39" i="7" s="1"/>
  <c r="C15" i="7"/>
  <c r="C14" i="7"/>
  <c r="C11" i="7"/>
  <c r="C10" i="7"/>
  <c r="C9" i="7"/>
  <c r="C8" i="7"/>
  <c r="F85" i="6" l="1"/>
  <c r="E85" i="6"/>
  <c r="D85" i="6"/>
  <c r="E71" i="6"/>
  <c r="E64" i="6"/>
  <c r="F81" i="6"/>
  <c r="E81" i="6"/>
  <c r="D81" i="6"/>
  <c r="F77" i="6"/>
  <c r="E77" i="6"/>
  <c r="D77" i="6"/>
  <c r="F71" i="6"/>
  <c r="D71" i="6"/>
  <c r="F64" i="6"/>
  <c r="D64" i="6"/>
  <c r="E67" i="5"/>
  <c r="F67" i="5"/>
  <c r="D67" i="5"/>
  <c r="E50" i="5"/>
  <c r="E42" i="5"/>
  <c r="F59" i="5"/>
  <c r="E59" i="5"/>
  <c r="D59" i="5"/>
  <c r="E58" i="5"/>
  <c r="F56" i="5"/>
  <c r="E56" i="5"/>
  <c r="D56" i="5"/>
  <c r="F50" i="5"/>
  <c r="D50" i="5"/>
  <c r="F42" i="5"/>
  <c r="D42" i="5"/>
  <c r="F127" i="3"/>
  <c r="G127" i="3"/>
  <c r="E127" i="3"/>
  <c r="F111" i="3"/>
  <c r="F86" i="3"/>
  <c r="G121" i="3"/>
  <c r="F121" i="3"/>
  <c r="G117" i="3"/>
  <c r="F117" i="3"/>
  <c r="E117" i="3"/>
  <c r="G111" i="3"/>
  <c r="E111" i="3"/>
  <c r="G86" i="3"/>
  <c r="E86" i="3"/>
  <c r="E97" i="2" l="1"/>
  <c r="E90" i="2"/>
  <c r="E111" i="2" s="1"/>
  <c r="E50" i="1"/>
  <c r="E47" i="1"/>
  <c r="F97" i="2"/>
  <c r="D97" i="2"/>
  <c r="F90" i="2"/>
  <c r="F111" i="2" s="1"/>
  <c r="D90" i="2"/>
  <c r="D111" i="2" s="1"/>
  <c r="D47" i="1" l="1"/>
  <c r="F47" i="1"/>
  <c r="D50" i="1"/>
  <c r="F50" i="1"/>
  <c r="D56" i="1"/>
  <c r="D64" i="1" s="1"/>
  <c r="E56" i="1"/>
  <c r="E68" i="1" s="1"/>
  <c r="F56" i="1"/>
  <c r="F58" i="1"/>
  <c r="E64" i="1"/>
  <c r="F64" i="1"/>
  <c r="F66" i="1"/>
  <c r="F68" i="1" l="1"/>
  <c r="D68" i="1"/>
</calcChain>
</file>

<file path=xl/sharedStrings.xml><?xml version="1.0" encoding="utf-8"?>
<sst xmlns="http://schemas.openxmlformats.org/spreadsheetml/2006/main" count="1076" uniqueCount="635">
  <si>
    <t>Comune di Milano</t>
  </si>
  <si>
    <t>DIREZIONE QUARTIERI E MUNICIPI</t>
  </si>
  <si>
    <t xml:space="preserve"> LOCALI SCOLASTICI E SPAZI MULTIUSO</t>
  </si>
  <si>
    <t>tipologia di procedimento</t>
  </si>
  <si>
    <t>tipologia
immobile/ area
indirizzo</t>
  </si>
  <si>
    <t>totale canoni percepiti a partire da gennaio 2022</t>
  </si>
  <si>
    <t>tariffa oraria pattuita</t>
  </si>
  <si>
    <t>numero totale contratti 
gestiti</t>
  </si>
  <si>
    <t>Note 
(ragioni per cui il canone percepito è superiore al canone annuo pattuito ed aventuali altre annotazioni)</t>
  </si>
  <si>
    <t>concessioni in uso di locali scolastici (per singolo plesso)</t>
  </si>
  <si>
    <t>PALESTRA GRANDE VIA PONTANO, 43 – C.P.I.A. 5</t>
  </si>
  <si>
    <t>PALESTRA PICCOLA VIA PONTANO, 43 – C.P.I.A. 5</t>
  </si>
  <si>
    <t>PALESTRA VIA GALVANI, 7 – I.C. GALVANI</t>
  </si>
  <si>
    <t>PALESTRA VIA FARA, 32 – I.C. GALVANI</t>
  </si>
  <si>
    <t>C’è stata una rinuncia.</t>
  </si>
  <si>
    <t>PALESTRA SOLARIUM VIA GIACOSA, 46 – I.C. GIACOSA</t>
  </si>
  <si>
    <t>PADIGLIONE BONGIOVANNI VIA GIACOSA, 46 – I.C. GIACOSA</t>
  </si>
  <si>
    <t>PADIGLIONE TOMMASEO VIA GIACOSA, 46 – I.C. GIACOSA</t>
  </si>
  <si>
    <t>PADIGLIONE ZADRA VIA GIACOSA, 46 – I.C. GIACOSA</t>
  </si>
  <si>
    <t>AULA VIA GIACOSA, 46 – I.C. GIACOSA</t>
  </si>
  <si>
    <t>PALESTRA VIA RUSSO, 23 – I.C. GIACOSA</t>
  </si>
  <si>
    <t>AULA VIA RUSSO, 23 – I.C. GIACOSA</t>
  </si>
  <si>
    <t>PALESTRA VIALE ZARA, 96 – I.C. ARBE-ZARA</t>
  </si>
  <si>
    <t>AULA VIALE ZARA, 96 – I.C. ARBE-ZARA</t>
  </si>
  <si>
    <t>CORTILE VIALE ZARA, 96 – I.C. ARBE-ZARA</t>
  </si>
  <si>
    <t>PALESTRA VIA CAGLIERO – I.C. FRANCESCHI</t>
  </si>
  <si>
    <t>PALESTRA A VIA MUZIO – I.C. FRANCESCHI</t>
  </si>
  <si>
    <t>PALESTRA B VIA MUZIO – I.C. FRANCESCHI</t>
  </si>
  <si>
    <t>CORTILE VIA MUZIO – I.C. FRANCESCHI</t>
  </si>
  <si>
    <t>PALESTRA VIA FRIGIA – I.C. CALVINO</t>
  </si>
  <si>
    <t>PALESTRA VIA MATTEI – I.C. CALVINO</t>
  </si>
  <si>
    <t>AULA VIA MATTEI – I.C. CALVINO</t>
  </si>
  <si>
    <t>PALESTRA S. UGUZZONE – I.C. CALVINO</t>
  </si>
  <si>
    <t>PALESTRA VIA ADRIANO – I.C. PERASSO</t>
  </si>
  <si>
    <t>PALESTRA VIA BOTTEGO – I.C. PERASSO</t>
  </si>
  <si>
    <t>AULA VIA BOTTEGO – I.C. PERASSO</t>
  </si>
  <si>
    <t>PALESTRINA VIA SAN MAMETE – I.C. PERASSO</t>
  </si>
  <si>
    <t>PALESTRA VIA SAN MAMETE – I.C. PERASSO</t>
  </si>
  <si>
    <t>AULA VIA SAN MAMETE – I.C. PERASSO</t>
  </si>
  <si>
    <t>PALESTRA VIA BOTTELLI – I.C. LOCATELLI-QUASIMODO</t>
  </si>
  <si>
    <t>PALESTRA VIA DELLA GIUSTIZIA – I.C. LOCATELLI-QUASIMODO</t>
  </si>
  <si>
    <t>PALESTRA VIA CESALPINO, 38 – I.C. PAOLO E LARISSA PINI</t>
  </si>
  <si>
    <t>PALESTRA VIA CESALPINO, 40 – I.C. PAOLO E LARISSA PINI</t>
  </si>
  <si>
    <t>PALESTRA VIA STEFANARDO DA VIMERCATE, 14 – I.C. PAOLO E LARISSA PINI</t>
  </si>
  <si>
    <t>PALESTRA VIA SANT’ERLEMBARDO, 4 – I.C. PAOLO E LARISSA PINI</t>
  </si>
  <si>
    <t>PALESTRA VIA VENINI, 80 – I.C. TEODORO CIRESOLA</t>
  </si>
  <si>
    <t>AULA VIA VENINI, 80 – I.C. TEODORO CIRESOLA</t>
  </si>
  <si>
    <t>AULA VIALE BRIANZA, 18 – I.C. TEODORO CIRESOLA</t>
  </si>
  <si>
    <t>PALESTRA ALTA VIALE BRIANZA, 18 – I.C. TEODORO CIRESOLA</t>
  </si>
  <si>
    <t>PALESTRA BASSA VIALE BRIANZA, 18 – I.C. TEODORO CIRESOLA</t>
  </si>
  <si>
    <t>totale</t>
  </si>
  <si>
    <t>concessione in uso spazi multiuso</t>
  </si>
  <si>
    <t>CASCINA TURRO</t>
  </si>
  <si>
    <t>ANFITEATRO MARTESANA</t>
  </si>
  <si>
    <t>IMMOBILI E AREE</t>
  </si>
  <si>
    <t>tipologia
immobile/ area 
indirizzo</t>
  </si>
  <si>
    <t>canone annuo pattuito</t>
  </si>
  <si>
    <t>Note
(ragioni per cui il canone percepito è superiore al canone annuo pattuito ed aventuali altre annotazioni)</t>
  </si>
  <si>
    <t>concessione d'uso immobili per progetti di sviluppo di attività culturali ed economiche</t>
  </si>
  <si>
    <t>concessione in uso particelle ortive</t>
  </si>
  <si>
    <t>orti Via Nuoro / Via Alghero snc</t>
  </si>
  <si>
    <t>concessione impianti sportivi</t>
  </si>
  <si>
    <t>concessioni in uso di spazi diversi dai precedenti</t>
  </si>
  <si>
    <t>struttura monopiano ex edificio scolastico scuola materna/ Via Sant'Uguzzone, 8 concessionario ATI casa dei Giochi</t>
  </si>
  <si>
    <t xml:space="preserve">accordo di coprogettazione con l'Associazione Telefono Donna Onlus finalizzaato alla gestione del "Centro Milano Donna" Via Sant'Uguzzone, 8 </t>
  </si>
  <si>
    <t>spazio sottostante il lato sinistro dell'anfiteatro Martesana / Parco Martiri della Libertà Iracheni Vittime del Terrorismo- concessionario ATI con capofila l'associazione Ponte giallo</t>
  </si>
  <si>
    <t>pagamento terzo trimestre 2020 - primo, secondo, terzo e quarto trimestre 2021 – primo e terzo trimestre 2022</t>
  </si>
  <si>
    <t>bar all'interno del Parco Franca Rame concessionario Alma Bar</t>
  </si>
  <si>
    <t>Giardino condiviso  ubicato tra le Via Esterle / Petraccone / Palmanova concessionario Legambiente</t>
  </si>
  <si>
    <t>concessioni in comodato d'uso</t>
  </si>
  <si>
    <r>
      <rPr>
        <b/>
        <sz val="12"/>
        <color rgb="FF000000"/>
        <rFont val="Calibri"/>
        <family val="2"/>
        <charset val="1"/>
      </rPr>
      <t xml:space="preserve">TOTALE GENERALE
</t>
    </r>
    <r>
      <rPr>
        <sz val="11"/>
        <color theme="1"/>
        <rFont val="Calibri"/>
        <family val="2"/>
        <scheme val="minor"/>
      </rPr>
      <t>importo comprensivo di I.V.A. ai sensi di legge</t>
    </r>
  </si>
  <si>
    <t>DIREZIONE SERVIZI CIVICI E MUNICIPI</t>
  </si>
  <si>
    <t xml:space="preserve"> MUNICIPIO 3</t>
  </si>
  <si>
    <t xml:space="preserve">concessioni in uso di locali scolastici </t>
  </si>
  <si>
    <t>I.C. STOPPANI - PRIMARIA BACONE
VIA MATTEUCCI, 3 AULA</t>
  </si>
  <si>
    <t>I.C. STOPPANI - PRIMARIA BACONE
VIA MATTEUCCI, 3 PALESTRINA</t>
  </si>
  <si>
    <t>I.C. STOPPANI - PRIMARIA BACONE
VIA MATTEUCCI, 3 AULA MAGNA</t>
  </si>
  <si>
    <t>I.C. STOPPANI - PRIMARIA BACONE
VIA MATTEUCCI, 3 PALESTRA</t>
  </si>
  <si>
    <t>I.C. STOPPANI - PRIMARIA STOPPANI
VIA STOPPANI, 1 AULA</t>
  </si>
  <si>
    <t>I.C. STOPPANI - PRIMARIA STOPPANI
VIA STOPPANI, 1 ATRIO</t>
  </si>
  <si>
    <t>I.C. STOPPANI - PRIMARIA STOPPANI
VIA STOPPANI, 1 PALESTRA</t>
  </si>
  <si>
    <t>I.C. STOPPANI - SECONDARIA
VIA MONTERDI, 6 PALESTRA</t>
  </si>
  <si>
    <t>I.C. GALLI - PRIMARIA BONETTI
VIA TAJANI, 12 AULA</t>
  </si>
  <si>
    <t>I.C. GALLI - PRIMARIA BONETTI
VIA TAJANI, 12 PALESTRA</t>
  </si>
  <si>
    <t>I.C. GALLI - PRIMARIA NOLLI ARQUATI
VIALE ROMAGNA, 12 AULA</t>
  </si>
  <si>
    <t>I.C. GALLI - PRIMARIA NOLLI ARQUATI
VIALE ROMAGNA, 12 PALESTRA</t>
  </si>
  <si>
    <t>I.C. GALLI - PRIMARIA TOTI
VIA CIMA, 15 AULA</t>
  </si>
  <si>
    <t>I.C. GALLI - PRIMARIA TOTI
VIA CIMA, 15 PALESTRA</t>
  </si>
  <si>
    <t>I.C. LEONARDO DA VINCI
PIAZZA LEONARDO DA VONCI, 2 AULA</t>
  </si>
  <si>
    <t>I.C. LEONARDO DA VINCI
PIAZZA LEONARDO DA VONCI, 2 PALESTRA EST</t>
  </si>
  <si>
    <t>I.C. LEONARDO DA VINCI
PIAZZA LEONARDO DA VONCI, 2 PALESTRA OVEST</t>
  </si>
  <si>
    <t>I.C. SCARPA - PRIMARIA SCARPA
VIA CLERICETTI, 22 AULA</t>
  </si>
  <si>
    <t>I.C. SCARPA - PRIMARIA SCARPA
VIA CLERICETTI, 22 PALESTRA</t>
  </si>
  <si>
    <t>I.C. SCARPA - PRIMARIA MORANTE
VIA PINI, 3 AULA</t>
  </si>
  <si>
    <t>I.C. SCARPA - PRIMARIA MORANTE
VIA PINI, 3 PALESTRA PICCOLA</t>
  </si>
  <si>
    <t>I.C. SCARPA - PRIMARIA MORANTE
VIA PINI, 3 PALESTRA GRANDE</t>
  </si>
  <si>
    <t>I.C. SCARPA - SEC. CAIROLI
VIA PASCAL, 35 AULA</t>
  </si>
  <si>
    <t>I.C. SCARPA - SEC. CAIROLI
VIA PASCAL, 35 PALESTRA</t>
  </si>
  <si>
    <t>I.C. QUINTINO DI VONA - PRIMARIA TITO SPERI
VIA PORPORA, 11 PALESTRA</t>
  </si>
  <si>
    <t>I.C. QUINTINO DI VONA - SECONDARIA
VIA SACCHINI, 34 PALESTRA P.T.</t>
  </si>
  <si>
    <t>I.C. QUINTINO DI VONA - SECONDARIA
VIA SACCHINI, 34 PALESTRA 1° P.</t>
  </si>
  <si>
    <t>I.C. PISACANE - PRIMARIA
VIA PISACANE, 9 AULA</t>
  </si>
  <si>
    <t>I.C. PISACANE - PRIMARIA
VIA PISACANE, 9 PALESTRA PICCOLA</t>
  </si>
  <si>
    <t>I.C. PISACANE - PRIMARIA
VIA PISACANE, 9 PALESTRA GRANDE</t>
  </si>
  <si>
    <t>I.C. PISACANE - PRIMARIA
VIA PISACANE, 9 AUDITORIUM</t>
  </si>
  <si>
    <t>I.C. PISACANE - SECONDARIA
VIA PISACANE, 13 AULA</t>
  </si>
  <si>
    <t>I.C. PISACANE - SECONDARIA
VIA PISACANE, 13 PALESTRA</t>
  </si>
  <si>
    <t>I.C. MANIAGO - PRIMARIA MUNARI
VIA FELTRE, 68/1 PALESTRA</t>
  </si>
  <si>
    <t>I.C. MANIAGO - PRIMARIA FERMI
VIA CARNIA, 32 PALESTRA</t>
  </si>
  <si>
    <t>I.C. MANIAGO - SEC. BUZZATI
VIA MANIAGO, 30 PALESTRA GRANDE</t>
  </si>
  <si>
    <t>I.C. MANIAGO - SEC. BUZZATI
VIA MANIAGO, 30 PALESTRA PICCOLA</t>
  </si>
  <si>
    <t>I.C. GALVANI - PRIMARIA
VIA CASATI, 6 AULA</t>
  </si>
  <si>
    <t>I.C. GALVANI - PRIMARIA
VIA CASATI, 6 PALESTRA</t>
  </si>
  <si>
    <t>I.C. GALVANI - PRIMARIA
VIA CASATI, 6 SALONE</t>
  </si>
  <si>
    <t>I.C. GALVANI - SECONDARIA
VIA SAN GREGORIO, 5 CORTILE</t>
  </si>
  <si>
    <t>Via Pini, 1
Palestra</t>
  </si>
  <si>
    <t>Via Sansovino, 9
Aula Consiliare</t>
  </si>
  <si>
    <t>Gratuità prevista con Delibera per le istituzioni scolastiche e i gruppi consiliari del Municipio 3.</t>
  </si>
  <si>
    <t>Via Val Vassori Peroni, 56
Auditorium</t>
  </si>
  <si>
    <t>Orti ubicati in via Canelli Folli</t>
  </si>
  <si>
    <t>Via Tucidide, 10
Centro sportivo Scarioni</t>
  </si>
  <si>
    <r>
      <t xml:space="preserve">TOTALE GENERALE
</t>
    </r>
    <r>
      <rPr>
        <sz val="12"/>
        <color theme="1"/>
        <rFont val="Calibri"/>
        <family val="2"/>
        <scheme val="minor"/>
      </rPr>
      <t>importo comprensivo di I.V.A. ai sensi di legge</t>
    </r>
  </si>
  <si>
    <t>INTROITI PER CONCESSIONI DI LOCALI SCOLASTICI, SPAZI MULTIUSO, IMMOBILI E AREE - PERIODO: GENNAIO - DICEMBRE 2022</t>
  </si>
  <si>
    <t xml:space="preserve">MUNICIPIO 2 </t>
  </si>
  <si>
    <t>è presente anche il pagamento di una quota relativa all'anno 2020/2021</t>
  </si>
  <si>
    <t>INTROITI PER CONCESSIONI DI LOCALI SCOLASTICI, SPAZI MULTIUSO, IMMOBILI E AREE - PERIODO: 
GENNAIO - DICEMBRE 2022</t>
  </si>
  <si>
    <t>nessuna concessione</t>
  </si>
  <si>
    <t>Il Responsabile Unità Coordinamento Municipio 2</t>
  </si>
  <si>
    <t>*Dr.ssa Loredana Bellanca</t>
  </si>
  <si>
    <t>*Il documento è firmato digitalmente ai sensi del D. Lgs. 82/2005 s.m.i. e norme collegate e sostituisce il documento cartaceo e la firma autografa.</t>
  </si>
  <si>
    <t>Originale firmato digitalmente è conservato persso la Direzione Servizi Civici e Municipi, Area Municipi</t>
  </si>
  <si>
    <t>Milano, 28/12/2022</t>
  </si>
  <si>
    <t>Il Responsabile Unità Coordinamento Municipio 3</t>
  </si>
  <si>
    <t>*Dott.ssa Elisabetta Pedratti</t>
  </si>
  <si>
    <t>Milano, 30/12/2022</t>
  </si>
  <si>
    <t xml:space="preserve"> MUNICIPIO 1</t>
  </si>
  <si>
    <t>Istituto Comprensivo A. Diaz 
P.zza C. Massaia, 2 - aula</t>
  </si>
  <si>
    <t>Istituto Comprensivo A. Diaz 
P.zza C. Massaia, 2 - aula 50%</t>
  </si>
  <si>
    <t>Istituto Comprensivo A. Diaz 
P.zza C. Massaia, 2 - palestra 67 mq</t>
  </si>
  <si>
    <t>Istituto Comprensivo A. Diaz 
P.zza C. Massaia, 2 - palestra 67 mq 50%</t>
  </si>
  <si>
    <t>Istituto Comprensivo A. Diaz 
P.zza C. Massaia, 2 - palestra 199 mq</t>
  </si>
  <si>
    <t>Istituto Comprensivo A. Diaz 
P.zza C. Massaia, 2 - palestra 199 mq 50%</t>
  </si>
  <si>
    <t xml:space="preserve">Istituto Comprensivo A. Diaz - aula
Via S. Orsola, 15 </t>
  </si>
  <si>
    <t>Istituto Comprensivo A. Diaz 
Via S. Orsola, 15 - aula 50%</t>
  </si>
  <si>
    <t>Istituto Comprensivo A. Diaz 
Via S. Orsola, 15 - palestra 185 mq</t>
  </si>
  <si>
    <t>Istituto Comprensivo A. Diaz 
Via S. Orsola, 15 - palestra 185 mq 50%</t>
  </si>
  <si>
    <t>Istituto Comprensivo A. Diaz 
Via S. Orsola, 15 - palestra 311 mq</t>
  </si>
  <si>
    <t>Istituto Comprensivo A. Diaz 
Via S. Orsola, 15 - palestra 311 mq 50%</t>
  </si>
  <si>
    <t>Istituto Comprensivo A. Diaz 
Via Crocefisso, 15 - aula</t>
  </si>
  <si>
    <t>Istituto Comprensivo A. Diaz 
Via Crocefisso, 15 - aula 50%</t>
  </si>
  <si>
    <t>Istituto Comprensivo A. Diaz 
Via Crocefisso, 15 - palestra mq 164</t>
  </si>
  <si>
    <t>Istituto Comprensivo A. Diaz 
Via Crocefisso, 15 - palestra mq 164 50%</t>
  </si>
  <si>
    <t>Istituto Comprensivo A. Diaz 
Via Crocefisso, 15 - palestra PT mq 164</t>
  </si>
  <si>
    <t>Istituto Comprensivo A. Diaz 
Via Crocefisso, 15 - palestra PT mq 164 50%</t>
  </si>
  <si>
    <t>Istituto Comprensivo Cuoco-Sassi 
Via Corridoni, 34/36 - aula</t>
  </si>
  <si>
    <t>Istituto Comprensivo Cuoco-Sassi 
Via Corridoni, 34/36 - aula 50%</t>
  </si>
  <si>
    <t>Istituto Comprensivo Cuoco-Sassi (primaria) Via Corridoni, 34/36 - palestra PT mq 169</t>
  </si>
  <si>
    <t>Istituto Comprensivo Cuoco-Sassi (primaria) Via Corridoni, 34/36 - palestra PT mq 169 50%</t>
  </si>
  <si>
    <t>Istituto Comprensivo Cuoco-Sassi (secondaria) Via Corridoni, 34/36 - palestra Pint. mq 169</t>
  </si>
  <si>
    <t>Istituto Comprensivo Cuoco-Sassi (secondaria) Via Corridoni, 34/36 - palestra PInt. mq 169 50%</t>
  </si>
  <si>
    <t>Istituto Comprensivo Pascoli 
Via Ruffini, 4/6 - aula</t>
  </si>
  <si>
    <t>Istituto Comprensivo Pascoli 
Via Ruffini, 4/6 - aula 50%</t>
  </si>
  <si>
    <t>Istituto Comprensivo Pascoli 
Via Ruffini, 4/6 - palestra PT mq 200</t>
  </si>
  <si>
    <t>Istituto Comprensivo Pascoli 
Via Ruffini, 4/6 - palestra PT mq 200 50%</t>
  </si>
  <si>
    <t>Istituto Comprensivo Pascoli 
Via Ruffini, 4/6 - palestra PP mq 195</t>
  </si>
  <si>
    <t>Istituto Comprensivo Pascoli 
Via Ruffini, 4/6 - palestra PP mq 195 50%</t>
  </si>
  <si>
    <t>Istituto Comprensivo Giusti-Assisi 
Via Giusti, 15 - aula</t>
  </si>
  <si>
    <t>Istituto Comprensivo Giusti-Assisi 
Via Giusti, 15 - aula 50%</t>
  </si>
  <si>
    <t>Istituto Comprensivo Giusti-Assisi (primaria) Via Giusti, 15 - mq 260</t>
  </si>
  <si>
    <t>Istituto Comprensivo Giusti-Assisi (primaria) Via Giusti, 15 - mq 260 50%</t>
  </si>
  <si>
    <t>Istituto Comprensivo Giusti-Assisi 
Via Palermo, 7/9 - aula</t>
  </si>
  <si>
    <t>Istituto Comprensivo Giusti-Assisi 
Via Palermo, 7/9 - aula 50%</t>
  </si>
  <si>
    <t>Istituto Comprensivo Giusti-Assisi 
Via Palermo, 7/9 - palestra mq 232</t>
  </si>
  <si>
    <t>Istituto Comprensivo Giusti-Assisi 
Via Palermo, 7/9 - palestra mq 232 50%</t>
  </si>
  <si>
    <t>Istituto Comprensivo Giusti-Assisi (secondaria) Via Giusti, 15/A - aula</t>
  </si>
  <si>
    <t>Istituto Comprensivo Giusti-Assisi (secondaria) Via Giusti, 15/A - aula 50%</t>
  </si>
  <si>
    <t>Istituto Comprensivo Giusti-Assisi (secondaria) Via Giusti, 15/A - palestra mq 260</t>
  </si>
  <si>
    <t>Istituto Comprensivo Giusti-Assisi (secondaria) Via Giusti, 15/A - palestra mq 260 50%</t>
  </si>
  <si>
    <t>Istituto Comprensivo Commenda 
Via della Commenda, 22/a - aula</t>
  </si>
  <si>
    <t>Istituto Comprensivo Commenda 
Via della Commenda, 22/a - aula 50%</t>
  </si>
  <si>
    <t>Istituto Comprensivo Commenda 
Via della Commenda, 22/a - palestra mq 131</t>
  </si>
  <si>
    <t>Istituto Comprensivo Commenda 
Via della Commenda, 22/a - palestra mq 131 50%</t>
  </si>
  <si>
    <t>Istituto Comprensivo Commenda 
Corso di Porta Romana, 112 - aula</t>
  </si>
  <si>
    <t>Istituto Comprensivo Commenda 
Corso di Porta Romana, 112 - aula 50%</t>
  </si>
  <si>
    <t>Istituto Comprensivo Commenda 
Corso di Porta Romana, 112 - palestra mq 248</t>
  </si>
  <si>
    <t>Istituto Comprensivo Commenda 
Corso di Porta Romana, 112 - palestra mq 248 50%</t>
  </si>
  <si>
    <t>Istituto Comprensivo Commenda 
Via Quadronno, 32 - aula</t>
  </si>
  <si>
    <t>Istituto Comprensivo Commenda 
Via Quadronno, 32 - aula 50%</t>
  </si>
  <si>
    <t>Istituto Comprensivo Commenda 
Via Quadronno, 32 - palestra mq 202</t>
  </si>
  <si>
    <t>Istituto Comprensivo Commenda 
Via Quadronno, 32 - palestra mq 202 50%</t>
  </si>
  <si>
    <t>Istituto Comprensivo Cavalieri 
Via Ariberto, 14 - aula</t>
  </si>
  <si>
    <t>Istituto Comprensivo Cavalieri 
Via Ariberto, 14 - aula 50%</t>
  </si>
  <si>
    <t>Istituto Comprensivo Cavalieri 
Via Ariberto, 14 - palestra mq 137</t>
  </si>
  <si>
    <t>Istituto Comprensivo Cavalieri 
Via Ariberto, 14 - palestra mq 137 50%</t>
  </si>
  <si>
    <t>Istituto Comprensivo Cavalieri 
Via Anco Marzio, 9 - aula</t>
  </si>
  <si>
    <t>Istituto Comprensivo Cavalieri 
Via Anco Marzio, 9 - aula 50%</t>
  </si>
  <si>
    <t>Istituto Comprensivo Cavalieri 
Via Anco Marzio, 9 - palestra mq 253</t>
  </si>
  <si>
    <t>Istituto Comprensivo Cavalieri 
Via Anco Marzio, 9 - palestra mq 253 50%</t>
  </si>
  <si>
    <t>Istituto Comprensivo Milano-Spiga
Bastioni di Porta Nuova, 4 - aula</t>
  </si>
  <si>
    <t>Istituto Comprensivo Milano-Spiga
Bastioni di Porta Nuova, 4 - aula 50%</t>
  </si>
  <si>
    <t>Istituto Comprensivo Milano-Spiga
Bastioni di Porta Nuova, 4 - palestra 275 mq</t>
  </si>
  <si>
    <t>Istituto Comprensivo Milano-Spiga
Bastioni di Porta Nuova, 4 - palestra 275 mq 50%</t>
  </si>
  <si>
    <t>Istituto Comprensivo Milano-Spiga
Via della Spiga, 29 - aula</t>
  </si>
  <si>
    <t>Istituto Comprensivo Milano-Spiga
Via della Spiga, 29 - aula 50%</t>
  </si>
  <si>
    <t>Istituto Comprensivo Milano-Spiga
Via della Spiga, 29 - palestra mq 143</t>
  </si>
  <si>
    <t>Istituto Comprensivo Milano-Spiga
Via della Spiga, 29 - palestra mq 143 50%</t>
  </si>
  <si>
    <t>Istituto Comprensivo Milano-Spiga
Via Solferino, 52 - aula</t>
  </si>
  <si>
    <t>Istituto Comprensivo Milano-Spiga
Via Solferino, 52 - aula 50%</t>
  </si>
  <si>
    <t>Istituto Comprensivo Milano-Spiga
Via Solferino, 52 - palestra mq 143</t>
  </si>
  <si>
    <t>Istituto Comprensivo Milano-Spiga
Via Solferino, 52 - palestra mq 143 50%</t>
  </si>
  <si>
    <t>Istituto Comprensivo Milano-Spiga
Via Santo Spirito, 21 - aula</t>
  </si>
  <si>
    <t>Istituto Comprensivo Milano-Spiga
Via Santo Spirito, 21 - aula 50%</t>
  </si>
  <si>
    <t>Istituto Comprensivo Milano-Spiga
Via Santo Spirito, 21 - palestra mq 198</t>
  </si>
  <si>
    <t>Istituto Comprensivo Milano-Spiga
Via Santo Spirito, 21 - palestra mq 198 50%</t>
  </si>
  <si>
    <t>C.A.M. GABELLE
Via San Marco, 45</t>
  </si>
  <si>
    <t>Salone Atrio</t>
  </si>
  <si>
    <t>tariffa minima fino a 4 ore + € 0,99 per ogni ora in più</t>
  </si>
  <si>
    <t>tariffa massima fino a 4 ore + € 3,70 per ogni ora in più</t>
  </si>
  <si>
    <t>Sala Pianoforte</t>
  </si>
  <si>
    <t>tariffa minima fino a 4 ore + € 0,87 per ogni ora in più</t>
  </si>
  <si>
    <t>tariffa massima fino a 4 ore + € 2,50 per ogni ora in più</t>
  </si>
  <si>
    <t>Giocoteca</t>
  </si>
  <si>
    <t>Palestra</t>
  </si>
  <si>
    <t>C.A.M. SCALDASOLE
Via Scaldadole 3/A</t>
  </si>
  <si>
    <t>Salone</t>
  </si>
  <si>
    <t>Saletta</t>
  </si>
  <si>
    <t>C.A.M. ROMANA/
VIGENTINA
Corso di Porta Vigentina 15/A</t>
  </si>
  <si>
    <t>Sala A</t>
  </si>
  <si>
    <t>Sala B</t>
  </si>
  <si>
    <t>tariffa minima fino a 4 ore + € 1,20 per ogni ora in più</t>
  </si>
  <si>
    <t>tariffa massima fino a 4 ore + € 5,00 per ogni ora in più</t>
  </si>
  <si>
    <t>C.A.M. GARIBALDI
Corso Garibaldi, 27</t>
  </si>
  <si>
    <t>Ludoteca</t>
  </si>
  <si>
    <t>Salone Piano Terra</t>
  </si>
  <si>
    <t>Salone 2° piano</t>
  </si>
  <si>
    <t xml:space="preserve"> ATS Casa degli Artisti - Via T. da Cazzaniga/ C.so Garibaldi</t>
  </si>
  <si>
    <t xml:space="preserve"> presenti: rivalutazione ISTAT e canoni anni pregressi</t>
  </si>
  <si>
    <t>Yoga Sangha - C.so Porta Romana 116/B</t>
  </si>
  <si>
    <t>presenti: rivalutazione ISTAT e canoni anni pregressi</t>
  </si>
  <si>
    <t>Cascina Nascosta - Viale Alemagna</t>
  </si>
  <si>
    <t>Mediolanum Tennis Squash Via Vincenzo Monti, 57 A/8</t>
  </si>
  <si>
    <t>è  presente la rivalutazione ISTAT</t>
  </si>
  <si>
    <t>Responsabile Unità Coordinamento Municipio 1</t>
  </si>
  <si>
    <t>Dr.ssa Carmela Generoso (*)</t>
  </si>
  <si>
    <t>(*) Il documento è firmato digitalmente ai sensi del D.Lgs. 82/2005 s.m.i. e norme collegate e sostituisce il documento cartaceo e la firma autografa.</t>
  </si>
  <si>
    <t xml:space="preserve">INTROITI PER CONCESSIONI DI LOCALI SCOLASTICI, SPAZI MULTIUSO, IMMOBILI E AREE - PERIODO: GENNAIO - DICEMBRE 2022 </t>
  </si>
  <si>
    <t>Milano, 02/01/2023</t>
  </si>
  <si>
    <t>totale tariffe orarie e 
canoni annui pattuiti</t>
  </si>
  <si>
    <r>
      <t xml:space="preserve">TOTALE GENERALE 9 MUNICIPI
</t>
    </r>
    <r>
      <rPr>
        <sz val="14"/>
        <color theme="1"/>
        <rFont val="Calibri"/>
        <family val="2"/>
        <charset val="1"/>
        <scheme val="minor"/>
      </rPr>
      <t>importo comprensivo di I.V.A. ai sensi di legge</t>
    </r>
  </si>
  <si>
    <r>
      <t xml:space="preserve">totale canoni percepiti da </t>
    </r>
    <r>
      <rPr>
        <b/>
        <i/>
        <sz val="12"/>
        <rFont val="Calibri"/>
        <family val="2"/>
        <charset val="1"/>
      </rPr>
      <t>gennaio a dicembre 2022</t>
    </r>
  </si>
  <si>
    <t>DIREZIONE SERVIZI CIVICI E  MUNICIPI</t>
  </si>
  <si>
    <t>INTROITI PER CONCESSIONI DI LOCALI SCOLASTICI, SPAZI MULTIUSO, IMMOBILI E AREE - PERIODO: GENNAIO 2022 -DICEMBRE 2022</t>
  </si>
  <si>
    <t xml:space="preserve"> MUNICIPIO 8</t>
  </si>
  <si>
    <t>PISCINA Scuola primaria via C. da Castello, 10</t>
  </si>
  <si>
    <t>PALESTRA Scuola primaria via Cilea, 12</t>
  </si>
  <si>
    <t>PALESTRA Scuola primaria via Delle Ande, 4</t>
  </si>
  <si>
    <t>PALESTRA Scuola primaria via Gattamelata, 35</t>
  </si>
  <si>
    <t>AULE Scuola primaria via Gattamelata, 35</t>
  </si>
  <si>
    <t>PALESTRA Scuola primaria via Graf, 70</t>
  </si>
  <si>
    <t>PALESTRINA Scuola primaria via Graf, 70</t>
  </si>
  <si>
    <t>ATRIO Scuola primaria via Graf, 70</t>
  </si>
  <si>
    <t>PALESTRA Scuola primaria via Mac Mahon, 100</t>
  </si>
  <si>
    <t>AULE Scuola primaria via Mantegna, 10</t>
  </si>
  <si>
    <t>PALESTRA Scuola primaria via Mantegna, 10</t>
  </si>
  <si>
    <t>PALESTRA Scuola primaria via Moscati, 1</t>
  </si>
  <si>
    <t>AULA Scuola primaria via Moscati, 1</t>
  </si>
  <si>
    <t>PALESTRA Scuola primaria via Pareto, 26</t>
  </si>
  <si>
    <t>AULA scuola d'infanzia via Sapri, 25</t>
  </si>
  <si>
    <t>PALESTRA via Val Lagarina, 44</t>
  </si>
  <si>
    <t>PALESTRA Scuola primaria via Visconti, 16</t>
  </si>
  <si>
    <t>Scuola primaria via Viscontini, 7</t>
  </si>
  <si>
    <t>Scuola Sec. di 1° grado via Borsa, 26</t>
  </si>
  <si>
    <t>PALESTRA Scuola Sec. di 1° grado via C. da Castello, 9</t>
  </si>
  <si>
    <t>PALESTRINA Scuola Sec. di 1° grado via C. da Castello, 9</t>
  </si>
  <si>
    <t>AULA Scuola Sec. di 1° grado via C. da Castello, 9</t>
  </si>
  <si>
    <t>SPAZIO TEATRO Scuola Sec. di 1° grado via C. da Castello, 9</t>
  </si>
  <si>
    <t>Scuola Sec. di 1° grado via Gallarate, 15</t>
  </si>
  <si>
    <t>Scuola Sec. di 1° grado via Linneo, 2</t>
  </si>
  <si>
    <t>Scuola Sec. di 1° grado via Ojetti, 13</t>
  </si>
  <si>
    <t>PALESTRA Scuola Sec. di 1° grado via P. Uccello, 1/A</t>
  </si>
  <si>
    <t>AULA  Scuola Sec. di 1° grado via P. Uccello, 1/A</t>
  </si>
  <si>
    <t>PALESTRA Scuola Sec. di 1° grado via Quarenghi, 14</t>
  </si>
  <si>
    <t>AULA ARTISTICA Scuola Sec. di 1° grado via Quarenghi, 14</t>
  </si>
  <si>
    <t>Scuola Sec. di 1° grado via Sapri, 50</t>
  </si>
  <si>
    <t>Auditorium via Quarenghi, 21</t>
  </si>
  <si>
    <t>l'importo si riferisce fino a 4 ore - € 134,00 oltre le 4 ore</t>
  </si>
  <si>
    <t>Atrio sala consiliare via Quarenghi, 21</t>
  </si>
  <si>
    <t>l'importo si riferisce fino a 4 ore - ogni ora in più € 3,70</t>
  </si>
  <si>
    <t>Saletta Maiellano via Quarenghi, 21</t>
  </si>
  <si>
    <t>CAM Lessona via Lessona, 20</t>
  </si>
  <si>
    <t>l'importo si riferisce fino a 4 ore - ogni ora in più € 1,20</t>
  </si>
  <si>
    <t>CAM Lampugnano via Lampugnano, 145</t>
  </si>
  <si>
    <t>l'importo si riferisce fino a 4 ore - ogni ora in più € 5,00</t>
  </si>
  <si>
    <t>CAM Pecetta via della Pecetta, 29</t>
  </si>
  <si>
    <t>CAM Jacopino via J. Da Tradate, 9</t>
  </si>
  <si>
    <t>Fondazione Perini - via Aldini 72</t>
  </si>
  <si>
    <t>CGIL - Pagoda piazza Gramsci</t>
  </si>
  <si>
    <t>Fondazione Terre des Hommes Italia Onlus - via Appennini 50</t>
  </si>
  <si>
    <t>via Aldini</t>
  </si>
  <si>
    <t>Via Lampugnano</t>
  </si>
  <si>
    <r>
      <rPr>
        <b/>
        <sz val="12"/>
        <color theme="1"/>
        <rFont val="Calibri"/>
        <family val="2"/>
        <scheme val="minor"/>
      </rPr>
      <t>TOTALE GENERALE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importo comprensivo di I.V.A. ai sensi di legge</t>
    </r>
  </si>
  <si>
    <t>gratuita</t>
  </si>
  <si>
    <t>Il Direttore Operativo Ambito 2 - Municipio 8</t>
  </si>
  <si>
    <t>*Dott.ssa Gabriella DELLA VALLE</t>
  </si>
  <si>
    <t>Milano, 03/01/2023</t>
  </si>
  <si>
    <t xml:space="preserve"> MUNICIPIO  4</t>
  </si>
  <si>
    <t>Note 
(ragioni per cui il canone percepito è superiore al canone annuo pattuito ed eventuali altre annotazioni)</t>
  </si>
  <si>
    <t>Palestra scuola primaria Via Monte Popera</t>
  </si>
  <si>
    <t>Aula Scuola Primaria Via Monte Popera</t>
  </si>
  <si>
    <t>Palestra scuola secondaria Via Medici del Vascello</t>
  </si>
  <si>
    <t>Aula Scuola primaria Via Colletta</t>
  </si>
  <si>
    <t>Palestra primo piano Scuola Primaria Via Colletta</t>
  </si>
  <si>
    <t>Palestra piano terra Scuola Primaria Via Colletta</t>
  </si>
  <si>
    <t>Atrio Scuola Primaria Via Colletta</t>
  </si>
  <si>
    <t>Palestra Scuola Primaria Via Monte Piana</t>
  </si>
  <si>
    <t xml:space="preserve">Palestra Scuola Primaria Via Ravenna </t>
  </si>
  <si>
    <t>Palestra Scuola Secondaria Via Dalmazia</t>
  </si>
  <si>
    <t>Palestra piano seminterrato Scuola Secondaria Via De Andreis</t>
  </si>
  <si>
    <t>Palestra piano rialzato Scuola Secondaria Via De Andreis</t>
  </si>
  <si>
    <t>Palestra Scuola Primaria L.go G. Gonzaga</t>
  </si>
  <si>
    <t>Aula sostegno Scuola Primaria L.go G. Gonzaga</t>
  </si>
  <si>
    <t>Palestra Scuola Primaria Via U. di Nemi</t>
  </si>
  <si>
    <t>Palestra Scuola Primaria Via Sordello</t>
  </si>
  <si>
    <t>Salone Scuola Primaria Via Sordello</t>
  </si>
  <si>
    <t>Aula doposcuola Scuola Primaria Via Sordello</t>
  </si>
  <si>
    <t>Palestra Scuola Primaria Viale Mugello</t>
  </si>
  <si>
    <t>Aula Scuola Primaria Viale Mugello</t>
  </si>
  <si>
    <t>Aula Scuola primaria Via Morosini</t>
  </si>
  <si>
    <t>Palestra piano terra Scuola Primaria Via Morosini</t>
  </si>
  <si>
    <t>Palestra primo piano  Scuola Primaria Via Morosini</t>
  </si>
  <si>
    <t xml:space="preserve">Laboratorio Psicomotricità Scuola Primaria Via Morosini </t>
  </si>
  <si>
    <t xml:space="preserve">Salone/Androne Scuola Primaria Via Morosini </t>
  </si>
  <si>
    <t xml:space="preserve">Aula musica Scuola Primaria Via Morosini </t>
  </si>
  <si>
    <t>Palestra Scuola Secondaria Via Cipro</t>
  </si>
  <si>
    <t>Palestra Scuola Primaria Via Polesine</t>
  </si>
  <si>
    <t>Aula  Psicomotricità Scuola Primaria Via Polesine</t>
  </si>
  <si>
    <t>Aula Scuola Primaria Via Decorati</t>
  </si>
  <si>
    <t>Palestra Scuola Primaria Via Decorati</t>
  </si>
  <si>
    <t>Aula Scuola Primaria Via Meleri</t>
  </si>
  <si>
    <t>Palestra Scuola Primaria Via Meleri</t>
  </si>
  <si>
    <t>Palestra Scuola Secondaria Via Mondolfo</t>
  </si>
  <si>
    <t>Palestra lato Devoto Scuola Primaria Via Mezzofanti</t>
  </si>
  <si>
    <t xml:space="preserve">Palestra lato Mezzofanti Scuola Primaria Via Mezzofanti </t>
  </si>
  <si>
    <t>Aula Scuola Primaria Via Monte Velino</t>
  </si>
  <si>
    <t>Palestra lato Viale Molise Scuola Primaria Via Monte Velino</t>
  </si>
  <si>
    <t>Palestra lato materna Scuola Primaria Via Monte Velino</t>
  </si>
  <si>
    <t xml:space="preserve">Auditorium Scuola Primaria Via Monte Velino </t>
  </si>
  <si>
    <t>Aula Scuola Secondaria Via Bezzecca</t>
  </si>
  <si>
    <t xml:space="preserve">Palestra Scuola Secondaria Via Martienngo </t>
  </si>
  <si>
    <t>Palestra Scuola Primaria Via Martinengo</t>
  </si>
  <si>
    <t>Palestrina Scuola Primaria Via Martinengo</t>
  </si>
  <si>
    <t>Palestra Scuola Primaria Viale Puglie</t>
  </si>
  <si>
    <t xml:space="preserve">Aula Scuola Primaria Via Oglio </t>
  </si>
  <si>
    <t xml:space="preserve">Atrio Scuola Primaria Via Oglio </t>
  </si>
  <si>
    <t xml:space="preserve">Aula sostegno piano terra Scuola Primaria Via Oglio </t>
  </si>
  <si>
    <t>Palestra Scuola Secondaria Via Cova</t>
  </si>
  <si>
    <t xml:space="preserve">Palestra Scuola Secondaria Via Mincio </t>
  </si>
  <si>
    <t>Auditorium Scuola Secondaria Via Bezzecca</t>
  </si>
  <si>
    <t>Palestra Scuola Secondaria Via Bezzecca</t>
  </si>
  <si>
    <t>Salone CAM Parea</t>
  </si>
  <si>
    <t xml:space="preserve">non si tratta di una tariffa oraria, ma di una tarifa relativa ad un blocco di utilizzo di 4h a cui si aggiunge una tariffa oraria per ogni ora di utilizzo oltre  le prime 4 </t>
  </si>
  <si>
    <t>Chiosco Via Pizzolpasso</t>
  </si>
  <si>
    <t>Sala Polo Ferrara</t>
  </si>
  <si>
    <t>Salone Polo Ferrara</t>
  </si>
  <si>
    <t>CAM Mondolfo</t>
  </si>
  <si>
    <t>Parco Alessandrini</t>
  </si>
  <si>
    <t>Parco G. Cassinis</t>
  </si>
  <si>
    <t>Il Responsabile Unità Coordinamento Municipio 4</t>
  </si>
  <si>
    <t>*Dr. Tommaso Innocente</t>
  </si>
  <si>
    <t>INTROITI PER CONCESSIONI DI LOCALI SCOLASTICI, SPAZI MULTIUSO, IMMOBILI E AREE - PERIODO: GENNAIO 2022 - DICEMBRE 2022</t>
  </si>
  <si>
    <t xml:space="preserve"> MUNICIPIO 9 </t>
  </si>
  <si>
    <t>AULA - I.C. ARBE ZARA 
 Scuola Primaria "Poerio"  Via Pianell n. 40</t>
  </si>
  <si>
    <t>PALESTRA - I.C. ARBE ZARA  
 Scuola Primaria "Poerio"  Via Pianell n. 40</t>
  </si>
  <si>
    <t>PALESTRA - I.C. ARBE ZARA 
 Scuola Secondaria di  Primo Grado "Falcone e Borsellino" 
 Viale Sarca n. 24</t>
  </si>
  <si>
    <t xml:space="preserve">PALESTRA - I.C. CESARE CANTU'  
 Scuola Primaria "Hanna Frank"  Via Dora Baltea n. 16 </t>
  </si>
  <si>
    <t>PALESTRA - I.C. CESARE CANTU'  
 Scuola Primaria Via  Dei Braschi 12</t>
  </si>
  <si>
    <t>AULA - I.C. CONFALONIERI -   Scuola Primaria  Via Crespi, 1</t>
  </si>
  <si>
    <t>PALESTRA - I.C. CONFALONIERI 
 Scuola Primaria Via dal Verme n. 10</t>
  </si>
  <si>
    <t>PALESTRA - I.C. CONFALONIERI 
Scuola Secondaria di 1° grado "Govone" Via Pepe n. 40</t>
  </si>
  <si>
    <t>PALESTRA - I.C. DON ORIONE 
Scuola Secondaria di I° "Leonardo da Vinci" Via Sand  n. 32</t>
  </si>
  <si>
    <t xml:space="preserve">                        PALESTRA -I.C. DON ORIONE                            Scuola Primaria "Caracciolo" Via Iseo, 7</t>
  </si>
  <si>
    <t>AULA PSICOMOTRICITA' - I.C. DON ORIONE 
Scuola Primaria "Caracciolo" Via Iseo n.7</t>
  </si>
  <si>
    <t xml:space="preserve">PALESTRA - I.C. DON ORIONE 
Scuola Primaria  "Don Orione" Via Fabriano n. 4 </t>
  </si>
  <si>
    <t>AULA - I.C. LOCATELLI/QUASIMODO 
Scuola Primaria "Locatelli"  Via Veglia 80</t>
  </si>
  <si>
    <t xml:space="preserve">                   AULA MAGNA - I.C. LOCATELLI/QUASIMODO   Scuola Secondaria di di 1° grado  "Tommaseo"  Piazzale Istria n.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</si>
  <si>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PALESTRA - .C. LOCATELLI/QUASIMODO 
Scuola Secondaria di 1° grado "Tommaseo"
 Piazzale Istria n. 11</t>
  </si>
  <si>
    <t>PALESTRA - I.C. LOCATELLI/QUASIMODO 
Scuola Primaria "Locatelli"  Via Veglia 80</t>
  </si>
  <si>
    <t>PALESTRA - I.C. LOCCHI 
  Scuola Primaria "Duca degli Abruzzi" Via Cesari n.38</t>
  </si>
  <si>
    <t xml:space="preserve"> AULA - I.C. LOCCHI Via Cesari n.38 
Scuola Primaria "Duca degli Abruzzi"  Via Cesari n.38 </t>
  </si>
  <si>
    <t xml:space="preserve"> AUDITORIUM TEATRO - I.C. LOCCHI    Scuola Primaria "Duca degli Abruzzi" Via Cesari, 38</t>
  </si>
  <si>
    <t xml:space="preserve"> AULA - I.C. LOCCHI  Scuola Primaria Via Passerini n.4</t>
  </si>
  <si>
    <t>PALESTRA - I.C. LOCCHI 
Scuola Secondaria Via Passerini n.4</t>
  </si>
  <si>
    <t>N. 1 totale dei contratti gestiti  del quale è pervenuta successivamente la Rinuncia</t>
  </si>
  <si>
    <t>PALESTRA - I.C. OLMI  Scuola Secondaria di 1°grado Via Maffucci n.60</t>
  </si>
  <si>
    <t>PALESTRA - I.C. SANDRO PERTINI 
Scuola Secondaria "Falcone e Borsellino" 
Via T. Mann n. 8</t>
  </si>
  <si>
    <t>PALESTRA - I.C. SANDRO PERTINI 
Scuola Primaria "Pertini"  Via T. Mann n. 8</t>
  </si>
  <si>
    <t>PALESTRA - I.C. SANDRO PERTINI 
Scuola Primaria  "Pirelli" Via da Bussero n. 9</t>
  </si>
  <si>
    <t>PALESTRA - I.C. SANDRO PERTINI 
Scuola Secondaria "Verga" Via Asturie n. 1</t>
  </si>
  <si>
    <t>PALESTRA - I.C. SCIALOIA 
Scuola Primaria "Calvino" Via Scialoia, 19</t>
  </si>
  <si>
    <t xml:space="preserve"> PALESTRA - I.C. SCIALOIA  Scuola Secondaria di di 1° grado "Buonarroti"  Via Scialoia n. 21</t>
  </si>
  <si>
    <t>PALESTRA - I.C. SORELLE AGAZZI  Scuola Secondaria di 1° grado "GANDHI" Piazza Gasparri n. 6</t>
  </si>
  <si>
    <t>PALESTRA - I.C. SORELLE AGAZZI 
Scuola  Secondaria di I° "Rodari" via Gabbro 6/a</t>
  </si>
  <si>
    <t>AULA - I.C. SORELLE AGAZZI 
Scuola Secondaria di I° "Rodari" via Gabbro 6/a</t>
  </si>
  <si>
    <t>spazio Palestra - CAM via Ciriè, 9</t>
  </si>
  <si>
    <t>spazio Teatro - CAM via Ciriè, 9</t>
  </si>
  <si>
    <t>Villa Litta Viale Affori,21</t>
  </si>
  <si>
    <t>Sala di Via Empoli</t>
  </si>
  <si>
    <t>Cassina Anna Anfiteatro - Via Sant'Arnaldo 17</t>
  </si>
  <si>
    <t>Cassina Anna Auditorium - Via Sant'Arnaldo 17</t>
  </si>
  <si>
    <t>Cassina Anna Palestrina - Via Sant'Arnaldo 17</t>
  </si>
  <si>
    <t>Auditorium Teresa Sarti Strada Viale Cà granda 19</t>
  </si>
  <si>
    <t>Cassina Anna - Via Sant'Arnaldo 17</t>
  </si>
  <si>
    <t>Via Cosenz</t>
  </si>
  <si>
    <t>Via Cascina dei Prati</t>
  </si>
  <si>
    <t>Impianto sportivo  - Via G. Pasta, 43</t>
  </si>
  <si>
    <t xml:space="preserve"> riconoscimento contributo Area Sport </t>
  </si>
  <si>
    <t>Hub - Via Borsieri</t>
  </si>
  <si>
    <t>Viale Affori 21 - progetto ATS capofila A&amp;I</t>
  </si>
  <si>
    <t>Università Statale di Milano - sede Bicocca</t>
  </si>
  <si>
    <r>
      <rPr>
        <b/>
        <sz val="12"/>
        <color rgb="FF000000"/>
        <rFont val="Calibri"/>
        <family val="2"/>
        <charset val="1"/>
      </rPr>
      <t xml:space="preserve">TOTALE GENERALE
</t>
    </r>
    <r>
      <rPr>
        <sz val="12"/>
        <color rgb="FF000000"/>
        <rFont val="Calibri"/>
        <family val="2"/>
        <charset val="1"/>
      </rPr>
      <t>importo comprensivo di I.V.A. ai sensi di legge</t>
    </r>
  </si>
  <si>
    <t xml:space="preserve"> La Responsabile Unità Coordinamento Municipio 9</t>
  </si>
  <si>
    <t>*Dr.ssa Giuseppina Pedata</t>
  </si>
  <si>
    <t>*Il documento è firmato digitalmente ai sensi del D.Lgs. 82/2005 s.m.i. e norme collegate e sostituisce il documento cartaceo e la firma autografa.</t>
  </si>
  <si>
    <t>MUNICIPIO 7</t>
  </si>
  <si>
    <t>Via Lamennais 20 - palestra</t>
  </si>
  <si>
    <t>Via Lamennais 20 - aule</t>
  </si>
  <si>
    <t>Via Dolci 5 - palestra</t>
  </si>
  <si>
    <t>Via Constant 19 - palestra</t>
  </si>
  <si>
    <t>Via Airaghi 42 - palestra</t>
  </si>
  <si>
    <t>Via San Giusto 65 - palestra</t>
  </si>
  <si>
    <t>Via San Giusto 65 - aula tatami</t>
  </si>
  <si>
    <t>Via San Giusto 65 - aule</t>
  </si>
  <si>
    <t>Via Rasori 19 - palestra</t>
  </si>
  <si>
    <t>Via Rasori 19 - aule</t>
  </si>
  <si>
    <t>Via Mauri 10 - palestra</t>
  </si>
  <si>
    <t>Via Mauri 10 - aule</t>
  </si>
  <si>
    <t>Via Colonna 42 - aule</t>
  </si>
  <si>
    <t>Via Colonna 42 - palestra</t>
  </si>
  <si>
    <t>Via Colonna 42 - palestrina</t>
  </si>
  <si>
    <t>Piazza Sicilia 2 - aula/teatro</t>
  </si>
  <si>
    <t>Piazza Sicilia 2 - palestra</t>
  </si>
  <si>
    <t>Piazza Sicilia 2 - cortile</t>
  </si>
  <si>
    <t>Via Val D'Intelvi 11 - palestra</t>
  </si>
  <si>
    <t>Via Val D'Intelvi 11 - aula</t>
  </si>
  <si>
    <t>Via Milesi 4 - palestra</t>
  </si>
  <si>
    <t>Via Forze Armate 279 - palestra</t>
  </si>
  <si>
    <t>Via Forze Armate 279 - aule</t>
  </si>
  <si>
    <t>Via Valdagno 8 - aule</t>
  </si>
  <si>
    <t>Via Valdagno 8 - palestra</t>
  </si>
  <si>
    <t>Via Viterbo 31 - palestra</t>
  </si>
  <si>
    <t>Via Don Gnocchi 25 - palestra</t>
  </si>
  <si>
    <t>Piazza Axum 5 - palestra</t>
  </si>
  <si>
    <t>Piazza Axum 5 - aule</t>
  </si>
  <si>
    <t>Via Paravia 83 - aula</t>
  </si>
  <si>
    <t>Via Delle Betulle 17 - palestra</t>
  </si>
  <si>
    <t>Via Dei Salici 2 - palestra</t>
  </si>
  <si>
    <t>Via Loria 37 - aula</t>
  </si>
  <si>
    <t>Via Loria 37 - palestra grande</t>
  </si>
  <si>
    <t>Via Loria 37 - palestra</t>
  </si>
  <si>
    <t>Via Forze Armate 65 - aula</t>
  </si>
  <si>
    <t>Via Forze Armate 65 - palestra</t>
  </si>
  <si>
    <t>Via Martinetti 25 - palestra grande</t>
  </si>
  <si>
    <t>Via Martinetti 25 - palestra piccola</t>
  </si>
  <si>
    <t>Via Crimea 22 - palestra</t>
  </si>
  <si>
    <t>Via Crimea 22 - aule</t>
  </si>
  <si>
    <t>Via Muggiano 14 - palestra</t>
  </si>
  <si>
    <t>Via Montebaldo - palestra</t>
  </si>
  <si>
    <t>Via Montebaldo - aule</t>
  </si>
  <si>
    <t>Palestra Manaresi - Via Manaresi snc</t>
  </si>
  <si>
    <t>Cam Forze Armate 318</t>
  </si>
  <si>
    <t>Parco delle Cave</t>
  </si>
  <si>
    <t>effettuati conguagli su canoni anni precedenti</t>
  </si>
  <si>
    <t>Via Mosca</t>
  </si>
  <si>
    <t>via Don Gervasini</t>
  </si>
  <si>
    <t>Parco della Cava di Muggiano</t>
  </si>
  <si>
    <t>via Viterbo-Bentivoglio</t>
  </si>
  <si>
    <t>via Castrovillari 14</t>
  </si>
  <si>
    <t>incassati 2 anni di concessione con riduzione per epidemia Covid-19</t>
  </si>
  <si>
    <t>via Molinetto 64</t>
  </si>
  <si>
    <t>via Viterbo 4</t>
  </si>
  <si>
    <t>Cascina Linterno - via F.lli Zoia 194</t>
  </si>
  <si>
    <t>comprensivo di adeguamento Istat</t>
  </si>
  <si>
    <t>locali c/o CAM Olmi - via delle Betulle 39</t>
  </si>
  <si>
    <t>*Dott.ssa Amore F.A. Scilla</t>
  </si>
  <si>
    <t>Milano, 05/01/2023</t>
  </si>
  <si>
    <t>Il Responsabile Unità Coordinamento Municipio 7</t>
  </si>
  <si>
    <t xml:space="preserve">nessuna concessione </t>
  </si>
  <si>
    <t>INTROITI PER CONCESSIONI DI LOCALI SCOLASTICI, SPAZI MULTIUSO, IMMOBILI E AREE - PERIODO: GENNAIO 2022 – DICEMBRE 2022</t>
  </si>
  <si>
    <t>MUNICIPIO 5</t>
  </si>
  <si>
    <t>numero totale 
contratti gestiti</t>
  </si>
  <si>
    <t>ICS Elsa Morante - Via Antonini 50 - Scuola primaria Damiano Chiesa 
palestra di mq 165 
aula di 50 mq</t>
  </si>
  <si>
    <t>ICS Elsa Morante - Via dei Bognetti 15 
Scuola primaria 
palestra grande mq 374 
palestra piccola mq 280
aula mq 34
aula mq 17</t>
  </si>
  <si>
    <t>ICS Elsa Morante - Via Heine 2 
Scuola Secondaria 
palestra grande mq 436
palestra piccola mq 215</t>
  </si>
  <si>
    <t>ICS  ARCADIA - Via dell'Arcadia 22 
scuola primaria Arcadia 
palestra mq 814 
aula psicomotricità mq 55</t>
  </si>
  <si>
    <t>ICS ARCADIA - Via dell'Arcadia 24 
scuola secondaria Arcadia 
palestra mq 848</t>
  </si>
  <si>
    <t>ICS ARCADIA - Via Baroni 73 (saponaro 36) 
scuola primaria Baroni 
palestra mq 260</t>
  </si>
  <si>
    <t>ICS ARCADIA Via Feraboli 44 
scuola Primaria Feraboli 
palestra grande mq 306 
palestra piccola mq 173</t>
  </si>
  <si>
    <t>ICS BAROZZI Via Bocconi 17 
scuola primaria Barozzi 
palestra mq 264
aula sostegno mq 32</t>
  </si>
  <si>
    <t>ICS BAROZZI Via G. Romano 2 
scuola primaria Giulio Romano 
palestra mq 186
aula pittura mq 11,5</t>
  </si>
  <si>
    <t>ICS BAROZZI Via Vittadini 10 
Scuola Confalonieri 
palestra mq 290
aula musica mq 52</t>
  </si>
  <si>
    <t>ICS BAROZZI Via Giambologna 30 
scuola dell'infanzia Giambologna 
salone mq 238</t>
  </si>
  <si>
    <t>ICS F. FILZI Via dei Guarneri 21 
scuola media Toscanini 
palestra mq 615</t>
  </si>
  <si>
    <t>ICS F. FILZI Via Wolf Ferrari 6 
Scuola primaria 
palestra mq 252 
aula giochi serali mq 46</t>
  </si>
  <si>
    <t>IC CAPPONI Via Pescarenico 6 
Elementare "MORO" 
palestra mq 242 
aula psicomotricità mq 44
aula teatro mq 60</t>
  </si>
  <si>
    <t>IC CAPPONI  Via Pescarenico 2 
SCUOLA MEDIA "GEMELLI" 
palestra mq 272
palestrina mq 107</t>
  </si>
  <si>
    <t>IC PALMIERI Via Palmieri 24 
scuola primaria C. Battisti
palestra mq 180
aula mq 51</t>
  </si>
  <si>
    <t>IC PALMIERI Via S. Giacomo 1 
scuola primaria C. Peroni 
palestra mq 250 
palestrina psicomotricità mq 42</t>
  </si>
  <si>
    <t>IC PALMIERI Via Boifava 52 
scuola secondaria 
S. Pertini 
palestra mq 263</t>
  </si>
  <si>
    <t>IC THOUAR GONZAGA Via Gentilino 14  scuola primaria 
Plesso Piolti de Bianchi - G. Stampa 
palestra mq 235 
n. 2 aule mq 63</t>
  </si>
  <si>
    <t>IC THOUAR GONZAGAVia Tabacchi 15/A 
scuola secondaria di I grado 
O. TABACCHI 
palestra mq 235</t>
  </si>
  <si>
    <t>salone CAM via Palmieri 18/20</t>
  </si>
  <si>
    <t>la tariffa è fissata, per atto interno, fino ad un massimo di 4 ore. Per slot aggiuntivi vi sono tariffe variabili</t>
  </si>
  <si>
    <t>CAM viale Tibaldi 41</t>
  </si>
  <si>
    <t>salone CAM via Saponaro 30</t>
  </si>
  <si>
    <t>Via San Bernardo 17</t>
  </si>
  <si>
    <t>Via Campazzino</t>
  </si>
  <si>
    <t>Via Teresa Noce</t>
  </si>
  <si>
    <t>Via Bottoni</t>
  </si>
  <si>
    <t>Via Selvanesco</t>
  </si>
  <si>
    <t>Via Vaiano Valle</t>
  </si>
  <si>
    <r>
      <t xml:space="preserve">TOTALE GENERALE
</t>
    </r>
    <r>
      <rPr>
        <sz val="10"/>
        <color theme="1"/>
        <rFont val="Calibri"/>
        <family val="2"/>
        <scheme val="minor"/>
      </rPr>
      <t>importo comprensivo di I.V.A. ai sensi di legge</t>
    </r>
  </si>
  <si>
    <t xml:space="preserve">La Responsabile Unità Coordinamento Municipio 5    </t>
  </si>
  <si>
    <t>*Avv. Valeria Furnari</t>
  </si>
  <si>
    <t>Milano, 10/01/2023</t>
  </si>
  <si>
    <t xml:space="preserve"> MUNICIPIO 6</t>
  </si>
  <si>
    <t>Scuola Primaria via Anemoni, 8 
Tariffa canone palestra</t>
  </si>
  <si>
    <t>Scuola Primaria via Anemoni, 8
 Tariffa canone aula</t>
  </si>
  <si>
    <t>Scuola Secondaria via Anemoni, 10 tariffa canone palestra</t>
  </si>
  <si>
    <t>Scuola Secondaria via Anemoni, 10 tariffa canone aula</t>
  </si>
  <si>
    <t>Scuola Primaria via dei Narcisi, 2
 Tariffa canone palestra</t>
  </si>
  <si>
    <t>Scuola Primaria via dei Narcisi, 2
 Tariffa canone aula</t>
  </si>
  <si>
    <t>Scuola Primaria via Pisa 1
 Tariffa canone palestra</t>
  </si>
  <si>
    <t>Scuola Primaria via Pisa 1
 Tariffa canone aula</t>
  </si>
  <si>
    <t>Scuola Primaria via Bergognone, 2/4 tariffa canone palestra</t>
  </si>
  <si>
    <t>Scuola Primaria via Bergognone, 2/4 tariffa canone aula</t>
  </si>
  <si>
    <t>Scuola Primaria via delle Foppette, 1 tariffa canone palestra</t>
  </si>
  <si>
    <t>Scuola Primaria via delle Foppette, 1 tariffa canone aula</t>
  </si>
  <si>
    <t>Scuola Primaria via delle Foppette, 1 tariffa canone aula magna</t>
  </si>
  <si>
    <t>Scuola Primaria via delle Foppette, 1 tariffa canone giardino</t>
  </si>
  <si>
    <t>Scuola Secondaria via De Nicola, 40 tariffa canone palestra</t>
  </si>
  <si>
    <t>Scuola Secondaria via De Nicola, 40 tariffa canone aula</t>
  </si>
  <si>
    <t>Scuola Primaria via De Nicola, 2
 Tariffa canone palestra</t>
  </si>
  <si>
    <t>Scuola Primaria via De Nicola, 2 
Tariffa canone aula</t>
  </si>
  <si>
    <t>Scuola Primaria via Tosi, 21 
Tariffa canone palestra</t>
  </si>
  <si>
    <t>Scuola Primaria via Tosi, 21 tariffa canone aula</t>
  </si>
  <si>
    <t>Scuola Primaria via Pestalozzi, 13
 Tariffa canone palestra</t>
  </si>
  <si>
    <t>Scuola Primaria via Pestalozzi, 13
 Tariffa canone aula</t>
  </si>
  <si>
    <t>Scuola Secondaria via R. Carriera, 12 tariffa canone palestra</t>
  </si>
  <si>
    <t>Scuola Secondaria via R. Carriera, 12 
Tariffa canone aula</t>
  </si>
  <si>
    <t>Scuola Primaria via Vespri Siciliani 75 tariffa canone palestra</t>
  </si>
  <si>
    <t>Scuola Primaria via Vespri Siciliani 75 tariffa canone aula</t>
  </si>
  <si>
    <t>Scuola Primaria via Salerno, 3
 Tariffa canone palestra</t>
  </si>
  <si>
    <t>Scuola Primaria via Salerno, 3 
Tariffa canone aula</t>
  </si>
  <si>
    <t>Scuola Secondaria via Salerno, 1 
Tariffa canone palestra</t>
  </si>
  <si>
    <t>Scuola Secondaria via Salerno, 1 
Tariffa canone aula</t>
  </si>
  <si>
    <t>Scuola Secondaria via San Colombano 8 tariffa canone palestra</t>
  </si>
  <si>
    <t>Scuola Secondaria via San Colombano 8 tariffa canone aula</t>
  </si>
  <si>
    <t>Scuola Primaria via Crivelli, 3 
Tariffa canone palestra</t>
  </si>
  <si>
    <t>Scuola Primaria via Crivelli, 3 
Tariffa canone aula</t>
  </si>
  <si>
    <t>Scuola Secondaria  via Crivelli, 3 
Tariffa canone palestra</t>
  </si>
  <si>
    <t>Scuola Secondaria  via Crivelli, 3
 Tariffa canone aula</t>
  </si>
  <si>
    <t>Scuola Secondaria via Scrosati, 4
 Tariffa canone palestra</t>
  </si>
  <si>
    <t>Scuola Secondaria via Scrosati, 4 
Tariffa canone aula</t>
  </si>
  <si>
    <t>Scuola Primaria via Scrosati, 3 
Tariffa canone palestra</t>
  </si>
  <si>
    <t>Scuola Primaria via Scrosati, 3
 Tariffa canone aula</t>
  </si>
  <si>
    <t>Scuola Primaria via Vigevano, 19
 Tariffa canone palestra</t>
  </si>
  <si>
    <t>Scuola Primaria via Vigevano, 19
 Tariffa canone aula</t>
  </si>
  <si>
    <t>Scuola Secondaria via Zuara, 7
 Tariffa canone palestra</t>
  </si>
  <si>
    <t>Scuola Secondaria via Zuara, 7 
Tariffa canone aula</t>
  </si>
  <si>
    <t>Scuola Primaria via Zuara, 9
 Tariffa canone palestra</t>
  </si>
  <si>
    <t>Scuola Primaria via Zuara, 9 
Tariffa canone aula</t>
  </si>
  <si>
    <t>Scuola Primaria via Zuara, 9
 Tariffa canone giardino</t>
  </si>
  <si>
    <t>si specifica che il numero delle concessioni rilasciate  è inferiore a questo  numero di contratti gestiti  in quanto le concessioni  vengono rilasciate per Istituto comprensivo e non per singolo plesso</t>
  </si>
  <si>
    <t>ex Fornace tariffa gratuita
Alzaia Naviglio Pavese 16 - piano T</t>
  </si>
  <si>
    <t>ex Fornace tariffa minima
Alzaia Naviglio Pavese 16 - piano T</t>
  </si>
  <si>
    <t>per le prime 4 ore € 6,20;  la domenica e i festivi  si paga doppia tariffa; dopo le 22:00 viene applicata la tariffa notturna=festiva</t>
  </si>
  <si>
    <t>ex Fornace tariffa massima
Alzaia Naviglio Pavese 16 - piano T</t>
  </si>
  <si>
    <t>per le prime 4 ore € 37,18;  la domenica e i festivi  si paga doppia tariffa; dopo le 22:00 viene applicata la tariffa notturna=festiva</t>
  </si>
  <si>
    <t>C.A.M.SAN PAOLINO  tariffa gratuita   via San Paolino  n. 18</t>
  </si>
  <si>
    <t>C.A.M.SAN PAOLINO  tariffa minima  via San Paolino  n. 18</t>
  </si>
  <si>
    <t>C.A.M. SAN PAOLINO tariffa massima via San Paolino n. 18</t>
  </si>
  <si>
    <t>C.A.M. Rudinì tariffa gratuita via Di Rudinì n. 14</t>
  </si>
  <si>
    <t>C.A.M. Rudinì tariffa minima via Di Rudinì n. 14</t>
  </si>
  <si>
    <t>C.A.M. Rudinì tariffa massima via Di Rudinì n. 14</t>
  </si>
  <si>
    <t>SALA CONSILIARE RENZO ORNELLA</t>
  </si>
  <si>
    <t>Seicentro Sala Arianna tariffa gratuita
Via Savona 99</t>
  </si>
  <si>
    <t>Seicentro sala Arianna tariffa minima
Via Savona 99</t>
  </si>
  <si>
    <t>per le prime 4 ore € 4,96;  per la giornata intera € 24,76</t>
  </si>
  <si>
    <t>Seicentro sala Arianna tariffa piena
Via Savona 99</t>
  </si>
  <si>
    <t>per le prime 4 ore € 24,76;  per la giornata intera € 99,19</t>
  </si>
  <si>
    <t>Seicentro sala Arianna tariffa di mercato
Via Savona 99</t>
  </si>
  <si>
    <t>per le prime 4 ore € 65,37;  per la giornata intera € 297,57</t>
  </si>
  <si>
    <t>Seicentro Sala Calliope  tariffa grauita
Via Savona 99</t>
  </si>
  <si>
    <t>Seicentro sala Calliope tariffa minima
Via Savona 99</t>
  </si>
  <si>
    <t>per le prime 4 ore € 3,72;  per la giornata intera € 17,32</t>
  </si>
  <si>
    <t>Seicentro sala Calliope tariffa piena
Via Savona 99</t>
  </si>
  <si>
    <t>per le prime 4 ore € 18,60;  per la giornata intera € 68,20</t>
  </si>
  <si>
    <t>Seicentro sala Calliope  tariffa di mercato
Via Savona 99</t>
  </si>
  <si>
    <t>per le prime 4 ore € 55,80;  per la giornata intera € 204,60</t>
  </si>
  <si>
    <t>Seicentro sala Teseo  tariffa  gratuita
Via Savona 99</t>
  </si>
  <si>
    <t>Seicentro sala Teseo  tariffa  minima
Via Savona 99</t>
  </si>
  <si>
    <t>Seicentro sala Teseo  tariffa  
piena
Via Savona 99</t>
  </si>
  <si>
    <t>Seicentro sala Teseo  tariffa di mercato
Via Savona 99</t>
  </si>
  <si>
    <t xml:space="preserve">Orti Barona - via De Finetti/via Danusso </t>
  </si>
  <si>
    <t xml:space="preserve">Orti  Fontanili - via Gozzoli/via Parri </t>
  </si>
  <si>
    <t>via Bari 18</t>
  </si>
  <si>
    <t>A causa del COVID gli importi del canone annuo 2021 sono stati ricalcolati dall'Area Sport che provvedereà entro fine anno alla sistemazione contabile della differenza</t>
  </si>
  <si>
    <t>via Soderini 41/2</t>
  </si>
  <si>
    <t>A causa del COVID gli importi del canone annuo 2021 sono stati ricalcolati dall'Area Sport che provvedereà entro fine anno alla sistemazione contabile della differenza, l'importo ricalcolato per il 2021  è di i € 292,75;  € 236,56 introito relativo all'anno 2020</t>
  </si>
  <si>
    <t>via Parenzo 2/1</t>
  </si>
  <si>
    <t>la differenza si riferisce all'importo dell'IVA</t>
  </si>
  <si>
    <t>ex casetta custode all'interno dell'ICS G. Capponi - via Tosi 21</t>
  </si>
  <si>
    <t>importo pagato a saldo per concessione triennale con scadenza 31/3/24 per  scomputo opere realizzate</t>
  </si>
  <si>
    <t>Centro Polifunzionale "Angelo Valdameri" TRE CASTELLI, via Martinelli n. 53 - Milano</t>
  </si>
  <si>
    <t>scomputo per iniziative realizzate</t>
  </si>
  <si>
    <t>Spazio Santi - via Santi 8 - Milano</t>
  </si>
  <si>
    <t>scomputo per opere realizzate</t>
  </si>
  <si>
    <t>VIA Ovada 38
(pagamento canone gestiti da MM)</t>
  </si>
  <si>
    <t>pagamento a MM</t>
  </si>
  <si>
    <t>CENTRO "IPR" (Istituto Pedagogico  della Resistenza)
Via degli Anemoni n. 6 - Milano</t>
  </si>
  <si>
    <t>Casetta Odazio - via Odazio 7 - Milano</t>
  </si>
  <si>
    <t>Edicola Radetzky - Darsena, viale Gorizia - foglio 474/mapp.352 parte-</t>
  </si>
  <si>
    <t>Spazio Ex Deposito della Biblioteca di via S. Paolino 18- p. terra</t>
  </si>
  <si>
    <t>€. 1.470,00</t>
  </si>
  <si>
    <t>La casa delle artiste - Spazio Alda Merini
via Magolfa 32 (foglio 437- mapp.629, 660 e 628)</t>
  </si>
  <si>
    <t>3 strutture all'interno dell'area a verde attrezzata di via Tobagi 4</t>
  </si>
  <si>
    <t>canone rivalutato, scomputo per iniziative realizzate</t>
  </si>
  <si>
    <t>via Faenza 29</t>
  </si>
  <si>
    <t>Alzaia Naviglio Pavese 16 - 1° piano</t>
  </si>
  <si>
    <t>rata 2022 non ancora emessa</t>
  </si>
  <si>
    <t>Il Direttore Operativo Municipi – Ambito 2</t>
  </si>
  <si>
    <t>Municipio 6</t>
  </si>
  <si>
    <t>*Dr.ssa Gabriella Della Valle</t>
  </si>
  <si>
    <t>*Il documento è firmato digitalmente ai sensi del D. Lgs. 82/2005 s.m.i. e norme collegate e sostituisce il documento cartaceo e la firma autografa</t>
  </si>
  <si>
    <t>Milano, 12/01/2023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</si>
</sst>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* #,##0.00\ &quot;€&quot;_-;\-* #,##0.00\ &quot;€&quot;_-;_-* &quot;-&quot;??\ &quot;€&quot;_-;_-@_-"/>
    <numFmt numFmtId="164" formatCode="_-* #,##0.00\ [$€-410]_-;\-* #,##0.00\ [$€-410]_-;_-* \-??\ [$€-410]_-;_-@_-"/>
    <numFmt numFmtId="165" formatCode="0;[Red]0"/>
    <numFmt numFmtId="166" formatCode="&quot;€ &quot;#,##0.00"/>
    <numFmt numFmtId="167" formatCode="&quot;€ &quot;#,##0.00;[Red]&quot;€ &quot;#,##0.00"/>
    <numFmt numFmtId="168" formatCode="&quot;€&quot;\ #,##0.00"/>
    <numFmt numFmtId="169" formatCode="#,##0.00\ &quot;€&quot;"/>
    <numFmt numFmtId="170" formatCode="[$€-2]\ #,##0.00;[Red]\-[$€-2]\ #,##0.00"/>
    <numFmt numFmtId="171" formatCode="_-* #,##0.00\ [$€-410]_-;\-* #,##0.00\ [$€-410]_-;_-* &quot;-&quot;??\ [$€-410]_-;_-@_-"/>
    <numFmt numFmtId="172" formatCode="&quot;€&quot;\ #,##0.00;[Red]&quot;€&quot;\ #,##0.00"/>
    <numFmt numFmtId="173" formatCode="#,##0.00&quot; €&quot;"/>
  </numFmts>
  <fonts count="6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Frutiger"/>
      <charset val="1"/>
    </font>
    <font>
      <b/>
      <sz val="11"/>
      <color rgb="FFFF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sz val="16"/>
      <color theme="1"/>
      <name val="Frutige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charset val="1"/>
    </font>
    <font>
      <sz val="14"/>
      <color theme="1"/>
      <name val="Calibri"/>
      <family val="2"/>
      <charset val="1"/>
      <scheme val="minor"/>
    </font>
    <font>
      <b/>
      <sz val="13"/>
      <color rgb="FF000000"/>
      <name val="Calibri"/>
      <family val="2"/>
      <charset val="1"/>
    </font>
    <font>
      <sz val="16"/>
      <color rgb="FF000000"/>
      <name val="Frutiger"/>
    </font>
    <font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5"/>
      <color rgb="FF000000"/>
      <name val="Frutiger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1"/>
      <scheme val="minor"/>
    </font>
    <font>
      <sz val="10"/>
      <color rgb="FF000000"/>
      <name val="Calibri"/>
      <family val="2"/>
    </font>
    <font>
      <b/>
      <sz val="13"/>
      <color theme="1"/>
      <name val="Calibri"/>
      <family val="2"/>
      <charset val="1"/>
      <scheme val="minor"/>
    </font>
    <font>
      <b/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charset val="1"/>
    </font>
    <font>
      <sz val="11"/>
      <color rgb="FFA6A6A6"/>
      <name val="Calibri"/>
      <family val="2"/>
      <charset val="1"/>
    </font>
    <font>
      <sz val="9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AE7F6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B9CDE5"/>
        <bgColor rgb="FFC0C0C0"/>
      </patternFill>
    </fill>
    <fill>
      <patternFill patternType="solid">
        <fgColor rgb="FFDAE7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E7F6"/>
        <bgColor rgb="FFDCE6F2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44" fontId="33" fillId="0" borderId="0" applyFont="0" applyFill="0" applyBorder="0" applyAlignment="0" applyProtection="0"/>
    <xf numFmtId="0" fontId="33" fillId="0" borderId="0"/>
  </cellStyleXfs>
  <cellXfs count="44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/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/>
    <xf numFmtId="165" fontId="9" fillId="0" borderId="1" xfId="0" applyNumberFormat="1" applyFont="1" applyBorder="1"/>
    <xf numFmtId="0" fontId="12" fillId="0" borderId="1" xfId="0" applyFont="1" applyBorder="1" applyAlignment="1">
      <alignment vertical="center" wrapText="1"/>
    </xf>
    <xf numFmtId="164" fontId="0" fillId="0" borderId="1" xfId="0" applyNumberFormat="1" applyBorder="1"/>
    <xf numFmtId="0" fontId="0" fillId="0" borderId="1" xfId="0" applyBorder="1"/>
    <xf numFmtId="0" fontId="13" fillId="0" borderId="0" xfId="0" applyFont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/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1" fontId="17" fillId="0" borderId="1" xfId="0" applyNumberFormat="1" applyFont="1" applyBorder="1" applyAlignment="1">
      <alignment horizontal="center" vertical="center" wrapText="1"/>
    </xf>
    <xf numFmtId="166" fontId="18" fillId="0" borderId="1" xfId="0" applyNumberFormat="1" applyFont="1" applyBorder="1" applyAlignment="1">
      <alignment horizontal="left" vertical="center" wrapText="1"/>
    </xf>
    <xf numFmtId="166" fontId="18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167" fontId="15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0" xfId="0" applyFont="1"/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0" fontId="25" fillId="0" borderId="1" xfId="0" quotePrefix="1" applyFont="1" applyBorder="1" applyAlignment="1">
      <alignment vertical="top" wrapText="1"/>
    </xf>
    <xf numFmtId="0" fontId="26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8" fontId="28" fillId="0" borderId="1" xfId="0" applyNumberFormat="1" applyFont="1" applyBorder="1" applyAlignment="1">
      <alignment horizontal="center" vertical="center" wrapText="1"/>
    </xf>
    <xf numFmtId="168" fontId="0" fillId="6" borderId="1" xfId="0" applyNumberFormat="1" applyFill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1" fontId="3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left"/>
    </xf>
    <xf numFmtId="169" fontId="11" fillId="0" borderId="1" xfId="0" applyNumberFormat="1" applyFont="1" applyBorder="1" applyAlignment="1">
      <alignment vertical="center" wrapText="1"/>
    </xf>
    <xf numFmtId="169" fontId="31" fillId="0" borderId="1" xfId="0" applyNumberFormat="1" applyFont="1" applyBorder="1" applyAlignment="1">
      <alignment vertical="center" wrapText="1"/>
    </xf>
    <xf numFmtId="168" fontId="32" fillId="0" borderId="1" xfId="0" quotePrefix="1" applyNumberFormat="1" applyFont="1" applyBorder="1" applyAlignment="1">
      <alignment horizontal="center" vertical="center" wrapText="1"/>
    </xf>
    <xf numFmtId="168" fontId="32" fillId="0" borderId="4" xfId="0" quotePrefix="1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68" fontId="34" fillId="0" borderId="10" xfId="0" quotePrefix="1" applyNumberFormat="1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168" fontId="34" fillId="0" borderId="1" xfId="0" quotePrefix="1" applyNumberFormat="1" applyFont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168" fontId="34" fillId="0" borderId="19" xfId="0" quotePrefix="1" applyNumberFormat="1" applyFont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168" fontId="34" fillId="0" borderId="4" xfId="0" quotePrefix="1" applyNumberFormat="1" applyFont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8" fontId="34" fillId="0" borderId="2" xfId="0" quotePrefix="1" applyNumberFormat="1" applyFont="1" applyBorder="1" applyAlignment="1">
      <alignment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168" fontId="2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22" xfId="0" quotePrefix="1" applyFont="1" applyBorder="1" applyAlignment="1">
      <alignment vertical="center" wrapText="1"/>
    </xf>
    <xf numFmtId="170" fontId="0" fillId="0" borderId="10" xfId="0" applyNumberFormat="1" applyBorder="1" applyAlignment="1">
      <alignment vertical="center" wrapText="1"/>
    </xf>
    <xf numFmtId="0" fontId="34" fillId="6" borderId="11" xfId="0" quotePrefix="1" applyFont="1" applyFill="1" applyBorder="1" applyAlignment="1">
      <alignment vertical="center" wrapText="1"/>
    </xf>
    <xf numFmtId="168" fontId="0" fillId="0" borderId="1" xfId="0" applyNumberFormat="1" applyBorder="1" applyAlignment="1">
      <alignment horizontal="center" vertical="center"/>
    </xf>
    <xf numFmtId="170" fontId="0" fillId="0" borderId="1" xfId="0" applyNumberFormat="1" applyBorder="1" applyAlignment="1">
      <alignment vertical="center" wrapText="1"/>
    </xf>
    <xf numFmtId="0" fontId="34" fillId="6" borderId="15" xfId="0" quotePrefix="1" applyFont="1" applyFill="1" applyBorder="1" applyAlignment="1">
      <alignment vertical="center" wrapText="1"/>
    </xf>
    <xf numFmtId="170" fontId="0" fillId="0" borderId="19" xfId="0" applyNumberFormat="1" applyBorder="1" applyAlignment="1">
      <alignment vertical="center" wrapText="1"/>
    </xf>
    <xf numFmtId="0" fontId="34" fillId="6" borderId="20" xfId="0" quotePrefix="1" applyFont="1" applyFill="1" applyBorder="1" applyAlignment="1">
      <alignment vertical="center" wrapText="1"/>
    </xf>
    <xf numFmtId="170" fontId="0" fillId="0" borderId="4" xfId="0" applyNumberFormat="1" applyBorder="1" applyAlignment="1">
      <alignment vertical="center" wrapText="1"/>
    </xf>
    <xf numFmtId="170" fontId="0" fillId="0" borderId="18" xfId="0" applyNumberForma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8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quotePrefix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" fontId="32" fillId="0" borderId="1" xfId="0" applyNumberFormat="1" applyFont="1" applyBorder="1" applyAlignment="1">
      <alignment horizontal="center" vertical="center" wrapText="1"/>
    </xf>
    <xf numFmtId="1" fontId="35" fillId="0" borderId="1" xfId="0" applyNumberFormat="1" applyFont="1" applyBorder="1" applyAlignment="1">
      <alignment horizontal="center" vertical="center" wrapText="1"/>
    </xf>
    <xf numFmtId="168" fontId="29" fillId="0" borderId="1" xfId="0" applyNumberFormat="1" applyFont="1" applyBorder="1" applyAlignment="1">
      <alignment horizontal="center" vertical="center" wrapText="1"/>
    </xf>
    <xf numFmtId="1" fontId="36" fillId="0" borderId="1" xfId="0" applyNumberFormat="1" applyFont="1" applyBorder="1" applyAlignment="1">
      <alignment horizontal="center" vertical="center" wrapText="1"/>
    </xf>
    <xf numFmtId="168" fontId="2" fillId="0" borderId="18" xfId="0" applyNumberFormat="1" applyFont="1" applyBorder="1" applyAlignment="1">
      <alignment vertical="center" wrapText="1"/>
    </xf>
    <xf numFmtId="170" fontId="2" fillId="0" borderId="4" xfId="0" applyNumberFormat="1" applyFont="1" applyBorder="1" applyAlignment="1">
      <alignment vertical="center" wrapText="1"/>
    </xf>
    <xf numFmtId="0" fontId="20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1" fontId="5" fillId="0" borderId="1" xfId="1" applyNumberFormat="1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39" fillId="0" borderId="0" xfId="0" applyNumberFormat="1" applyFont="1" applyAlignment="1">
      <alignment horizontal="right"/>
    </xf>
    <xf numFmtId="0" fontId="39" fillId="0" borderId="0" xfId="0" applyFont="1" applyAlignment="1">
      <alignment horizontal="left" vertical="center" wrapText="1"/>
    </xf>
    <xf numFmtId="0" fontId="40" fillId="0" borderId="0" xfId="0" applyFont="1"/>
    <xf numFmtId="0" fontId="2" fillId="0" borderId="1" xfId="0" applyFont="1" applyBorder="1" applyAlignment="1">
      <alignment horizontal="center" vertical="center" wrapText="1"/>
    </xf>
    <xf numFmtId="168" fontId="34" fillId="0" borderId="1" xfId="0" applyNumberFormat="1" applyFont="1" applyBorder="1" applyAlignment="1">
      <alignment horizontal="center" vertical="center"/>
    </xf>
    <xf numFmtId="170" fontId="34" fillId="0" borderId="1" xfId="0" quotePrefix="1" applyNumberFormat="1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168" fontId="34" fillId="0" borderId="3" xfId="0" applyNumberFormat="1" applyFont="1" applyBorder="1" applyAlignment="1">
      <alignment horizontal="center" vertical="center"/>
    </xf>
    <xf numFmtId="170" fontId="34" fillId="0" borderId="3" xfId="0" applyNumberFormat="1" applyFont="1" applyBorder="1" applyAlignment="1">
      <alignment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1" xfId="0" quotePrefix="1" applyFont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41" fillId="0" borderId="1" xfId="0" quotePrefix="1" applyFont="1" applyBorder="1" applyAlignment="1">
      <alignment horizontal="center" vertical="center" wrapText="1"/>
    </xf>
    <xf numFmtId="169" fontId="0" fillId="0" borderId="0" xfId="0" applyNumberFormat="1"/>
    <xf numFmtId="1" fontId="42" fillId="0" borderId="1" xfId="0" applyNumberFormat="1" applyFont="1" applyBorder="1" applyAlignment="1">
      <alignment horizontal="center" vertical="center" wrapText="1"/>
    </xf>
    <xf numFmtId="172" fontId="28" fillId="0" borderId="1" xfId="0" applyNumberFormat="1" applyFont="1" applyBorder="1" applyAlignment="1">
      <alignment horizontal="center" vertical="center" wrapText="1"/>
    </xf>
    <xf numFmtId="170" fontId="32" fillId="0" borderId="1" xfId="0" quotePrefix="1" applyNumberFormat="1" applyFont="1" applyBorder="1" applyAlignment="1">
      <alignment vertical="center" wrapText="1"/>
    </xf>
    <xf numFmtId="0" fontId="25" fillId="0" borderId="1" xfId="0" quotePrefix="1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168" fontId="0" fillId="0" borderId="1" xfId="0" applyNumberFormat="1" applyBorder="1" applyAlignment="1">
      <alignment horizontal="center"/>
    </xf>
    <xf numFmtId="170" fontId="34" fillId="0" borderId="1" xfId="0" quotePrefix="1" applyNumberFormat="1" applyFon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 wrapText="1"/>
    </xf>
    <xf numFmtId="170" fontId="32" fillId="0" borderId="1" xfId="0" quotePrefix="1" applyNumberFormat="1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6" fontId="0" fillId="0" borderId="1" xfId="0" applyNumberFormat="1" applyBorder="1" applyAlignment="1">
      <alignment horizontal="center" vertical="center"/>
    </xf>
    <xf numFmtId="166" fontId="0" fillId="0" borderId="0" xfId="0" applyNumberFormat="1"/>
    <xf numFmtId="0" fontId="0" fillId="0" borderId="1" xfId="0" applyBorder="1" applyAlignment="1">
      <alignment horizontal="left" vertical="top" wrapText="1"/>
    </xf>
    <xf numFmtId="166" fontId="9" fillId="0" borderId="1" xfId="0" applyNumberFormat="1" applyFont="1" applyBorder="1" applyAlignment="1">
      <alignment horizontal="center" vertical="center"/>
    </xf>
    <xf numFmtId="173" fontId="0" fillId="0" borderId="0" xfId="0" applyNumberFormat="1"/>
    <xf numFmtId="166" fontId="0" fillId="0" borderId="30" xfId="0" applyNumberForma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9" fillId="0" borderId="30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/>
    </xf>
    <xf numFmtId="166" fontId="15" fillId="0" borderId="30" xfId="0" applyNumberFormat="1" applyFont="1" applyBorder="1" applyAlignment="1">
      <alignment horizontal="center" vertical="center" wrapText="1"/>
    </xf>
    <xf numFmtId="166" fontId="31" fillId="0" borderId="1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1" fontId="0" fillId="0" borderId="0" xfId="0" applyNumberFormat="1"/>
    <xf numFmtId="0" fontId="43" fillId="0" borderId="0" xfId="0" applyFont="1" applyAlignment="1">
      <alignment vertical="top"/>
    </xf>
    <xf numFmtId="169" fontId="22" fillId="0" borderId="0" xfId="0" applyNumberFormat="1" applyFont="1" applyAlignment="1">
      <alignment horizontal="center"/>
    </xf>
    <xf numFmtId="0" fontId="45" fillId="8" borderId="1" xfId="0" applyFont="1" applyFill="1" applyBorder="1" applyAlignment="1">
      <alignment horizontal="center" vertical="center"/>
    </xf>
    <xf numFmtId="168" fontId="0" fillId="0" borderId="1" xfId="0" applyNumberFormat="1" applyBorder="1" applyAlignment="1">
      <alignment horizontal="right" wrapText="1"/>
    </xf>
    <xf numFmtId="0" fontId="46" fillId="0" borderId="1" xfId="0" applyFont="1" applyBorder="1" applyAlignment="1">
      <alignment horizontal="right" wrapText="1"/>
    </xf>
    <xf numFmtId="0" fontId="45" fillId="0" borderId="1" xfId="0" applyFon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/>
    </xf>
    <xf numFmtId="165" fontId="15" fillId="0" borderId="1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169" fontId="2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168" fontId="0" fillId="6" borderId="1" xfId="0" quotePrefix="1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70" fontId="0" fillId="0" borderId="1" xfId="0" applyNumberFormat="1" applyBorder="1" applyAlignment="1">
      <alignment horizontal="right" wrapText="1"/>
    </xf>
    <xf numFmtId="0" fontId="48" fillId="0" borderId="1" xfId="0" applyFont="1" applyBorder="1" applyAlignment="1">
      <alignment horizontal="right" wrapText="1"/>
    </xf>
    <xf numFmtId="0" fontId="45" fillId="0" borderId="0" xfId="0" applyFont="1" applyAlignment="1">
      <alignment horizontal="center" vertical="center" wrapText="1"/>
    </xf>
    <xf numFmtId="0" fontId="39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center" vertical="center" wrapText="1"/>
    </xf>
    <xf numFmtId="164" fontId="39" fillId="0" borderId="1" xfId="0" applyNumberFormat="1" applyFont="1" applyBorder="1" applyAlignment="1">
      <alignment horizontal="center"/>
    </xf>
    <xf numFmtId="165" fontId="39" fillId="0" borderId="1" xfId="0" applyNumberFormat="1" applyFont="1" applyBorder="1" applyAlignment="1">
      <alignment horizontal="right"/>
    </xf>
    <xf numFmtId="169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34" fillId="0" borderId="1" xfId="0" quotePrefix="1" applyFont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0" fillId="0" borderId="1" xfId="0" applyFont="1" applyBorder="1" applyAlignment="1">
      <alignment horizontal="left" vertical="center" wrapText="1"/>
    </xf>
    <xf numFmtId="0" fontId="50" fillId="0" borderId="2" xfId="0" applyFont="1" applyBorder="1" applyAlignment="1">
      <alignment horizontal="center" vertical="center" wrapText="1"/>
    </xf>
    <xf numFmtId="171" fontId="35" fillId="0" borderId="10" xfId="3" quotePrefix="1" applyNumberFormat="1" applyFont="1" applyBorder="1" applyAlignment="1">
      <alignment horizontal="center" vertical="center" wrapText="1"/>
    </xf>
    <xf numFmtId="0" fontId="51" fillId="0" borderId="10" xfId="3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/>
    </xf>
    <xf numFmtId="171" fontId="35" fillId="0" borderId="19" xfId="3" quotePrefix="1" applyNumberFormat="1" applyFont="1" applyBorder="1" applyAlignment="1">
      <alignment horizontal="center" vertical="center" wrapText="1"/>
    </xf>
    <xf numFmtId="0" fontId="51" fillId="0" borderId="19" xfId="3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/>
    </xf>
    <xf numFmtId="171" fontId="35" fillId="0" borderId="1" xfId="3" quotePrefix="1" applyNumberFormat="1" applyFont="1" applyBorder="1" applyAlignment="1">
      <alignment horizontal="center" vertical="center" wrapText="1"/>
    </xf>
    <xf numFmtId="0" fontId="51" fillId="0" borderId="1" xfId="3" applyFont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/>
    </xf>
    <xf numFmtId="171" fontId="35" fillId="0" borderId="18" xfId="3" quotePrefix="1" applyNumberFormat="1" applyFont="1" applyBorder="1" applyAlignment="1">
      <alignment horizontal="center" vertical="center" wrapText="1"/>
    </xf>
    <xf numFmtId="0" fontId="51" fillId="0" borderId="18" xfId="3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/>
    </xf>
    <xf numFmtId="171" fontId="35" fillId="0" borderId="4" xfId="3" quotePrefix="1" applyNumberFormat="1" applyFont="1" applyBorder="1" applyAlignment="1">
      <alignment horizontal="center" vertical="center" wrapText="1"/>
    </xf>
    <xf numFmtId="0" fontId="51" fillId="0" borderId="4" xfId="3" applyFont="1" applyBorder="1" applyAlignment="1">
      <alignment horizontal="center" vertical="center" wrapText="1"/>
    </xf>
    <xf numFmtId="0" fontId="52" fillId="0" borderId="21" xfId="0" applyFont="1" applyBorder="1" applyAlignment="1">
      <alignment horizontal="center" vertical="center"/>
    </xf>
    <xf numFmtId="0" fontId="51" fillId="0" borderId="34" xfId="0" applyFont="1" applyBorder="1" applyAlignment="1">
      <alignment horizontal="center" vertical="center" wrapText="1"/>
    </xf>
    <xf numFmtId="168" fontId="35" fillId="0" borderId="2" xfId="3" applyNumberFormat="1" applyFont="1" applyBorder="1" applyAlignment="1">
      <alignment horizontal="center" vertical="center" wrapText="1"/>
    </xf>
    <xf numFmtId="171" fontId="35" fillId="0" borderId="2" xfId="3" quotePrefix="1" applyNumberFormat="1" applyFont="1" applyBorder="1" applyAlignment="1">
      <alignment horizontal="center" vertical="center" wrapText="1"/>
    </xf>
    <xf numFmtId="0" fontId="51" fillId="0" borderId="2" xfId="3" applyFont="1" applyBorder="1" applyAlignment="1">
      <alignment horizontal="center" vertical="center" wrapText="1"/>
    </xf>
    <xf numFmtId="0" fontId="52" fillId="0" borderId="35" xfId="0" applyFont="1" applyBorder="1" applyAlignment="1">
      <alignment horizontal="center" vertical="center"/>
    </xf>
    <xf numFmtId="171" fontId="35" fillId="0" borderId="3" xfId="3" quotePrefix="1" applyNumberFormat="1" applyFont="1" applyBorder="1" applyAlignment="1">
      <alignment horizontal="center" vertical="center" wrapText="1"/>
    </xf>
    <xf numFmtId="0" fontId="51" fillId="0" borderId="3" xfId="3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0" fontId="52" fillId="0" borderId="23" xfId="0" applyFont="1" applyBorder="1" applyAlignment="1">
      <alignment horizontal="center" vertical="center"/>
    </xf>
    <xf numFmtId="0" fontId="51" fillId="0" borderId="35" xfId="0" applyFont="1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52" fillId="0" borderId="20" xfId="0" applyFont="1" applyBorder="1" applyAlignment="1">
      <alignment horizontal="center" vertical="center"/>
    </xf>
    <xf numFmtId="0" fontId="51" fillId="0" borderId="35" xfId="0" applyFont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0" fontId="50" fillId="6" borderId="1" xfId="0" applyFont="1" applyFill="1" applyBorder="1" applyAlignment="1">
      <alignment horizontal="left" vertical="center" wrapText="1"/>
    </xf>
    <xf numFmtId="0" fontId="53" fillId="6" borderId="4" xfId="0" applyFont="1" applyFill="1" applyBorder="1" applyAlignment="1">
      <alignment horizontal="center" vertical="center" wrapText="1"/>
    </xf>
    <xf numFmtId="168" fontId="54" fillId="6" borderId="4" xfId="3" applyNumberFormat="1" applyFont="1" applyFill="1" applyBorder="1" applyAlignment="1">
      <alignment horizontal="center" vertical="center" wrapText="1"/>
    </xf>
    <xf numFmtId="0" fontId="54" fillId="6" borderId="4" xfId="3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168" fontId="42" fillId="0" borderId="2" xfId="3" applyNumberFormat="1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168" fontId="35" fillId="0" borderId="1" xfId="3" applyNumberFormat="1" applyFont="1" applyBorder="1" applyAlignment="1">
      <alignment horizontal="center" vertical="center" wrapText="1"/>
    </xf>
    <xf numFmtId="0" fontId="52" fillId="6" borderId="1" xfId="0" applyFont="1" applyFill="1" applyBorder="1" applyAlignment="1">
      <alignment horizontal="center" vertical="center" wrapText="1"/>
    </xf>
    <xf numFmtId="0" fontId="51" fillId="6" borderId="1" xfId="0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 wrapText="1"/>
    </xf>
    <xf numFmtId="168" fontId="46" fillId="0" borderId="1" xfId="0" applyNumberFormat="1" applyFont="1" applyBorder="1" applyAlignment="1">
      <alignment horizontal="center" vertical="center" wrapText="1"/>
    </xf>
    <xf numFmtId="0" fontId="54" fillId="6" borderId="1" xfId="3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50" fillId="0" borderId="2" xfId="0" applyFont="1" applyBorder="1" applyAlignment="1">
      <alignment horizontal="left" vertical="center" wrapText="1"/>
    </xf>
    <xf numFmtId="166" fontId="50" fillId="0" borderId="1" xfId="0" applyNumberFormat="1" applyFont="1" applyBorder="1" applyAlignment="1">
      <alignment horizontal="center" vertical="center" wrapText="1"/>
    </xf>
    <xf numFmtId="168" fontId="54" fillId="6" borderId="19" xfId="3" applyNumberFormat="1" applyFont="1" applyFill="1" applyBorder="1" applyAlignment="1">
      <alignment horizontal="center" vertical="center" wrapText="1"/>
    </xf>
    <xf numFmtId="0" fontId="54" fillId="6" borderId="19" xfId="3" applyFont="1" applyFill="1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168" fontId="35" fillId="0" borderId="4" xfId="3" applyNumberFormat="1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168" fontId="56" fillId="0" borderId="19" xfId="0" applyNumberFormat="1" applyFont="1" applyBorder="1" applyAlignment="1">
      <alignment horizontal="center" vertical="center" wrapText="1"/>
    </xf>
    <xf numFmtId="168" fontId="54" fillId="6" borderId="18" xfId="3" applyNumberFormat="1" applyFont="1" applyFill="1" applyBorder="1" applyAlignment="1">
      <alignment horizontal="center" vertical="center" wrapText="1"/>
    </xf>
    <xf numFmtId="0" fontId="54" fillId="6" borderId="18" xfId="3" applyFont="1" applyFill="1" applyBorder="1" applyAlignment="1">
      <alignment horizontal="center" vertical="center" wrapText="1"/>
    </xf>
    <xf numFmtId="166" fontId="46" fillId="0" borderId="1" xfId="0" applyNumberFormat="1" applyFont="1" applyBorder="1" applyAlignment="1">
      <alignment horizontal="center" vertical="center" wrapText="1"/>
    </xf>
    <xf numFmtId="166" fontId="46" fillId="0" borderId="4" xfId="0" applyNumberFormat="1" applyFont="1" applyBorder="1" applyAlignment="1">
      <alignment horizontal="center" vertical="center" wrapText="1"/>
    </xf>
    <xf numFmtId="1" fontId="52" fillId="0" borderId="4" xfId="0" applyNumberFormat="1" applyFont="1" applyBorder="1" applyAlignment="1">
      <alignment horizontal="center" vertical="center" wrapText="1"/>
    </xf>
    <xf numFmtId="1" fontId="52" fillId="0" borderId="1" xfId="0" applyNumberFormat="1" applyFont="1" applyBorder="1" applyAlignment="1">
      <alignment horizontal="center" vertical="center" wrapText="1"/>
    </xf>
    <xf numFmtId="166" fontId="48" fillId="0" borderId="1" xfId="0" applyNumberFormat="1" applyFont="1" applyBorder="1" applyAlignment="1">
      <alignment horizontal="center" vertical="center" wrapText="1"/>
    </xf>
    <xf numFmtId="1" fontId="51" fillId="0" borderId="1" xfId="0" applyNumberFormat="1" applyFont="1" applyBorder="1" applyAlignment="1">
      <alignment horizontal="center" vertical="center" wrapText="1"/>
    </xf>
    <xf numFmtId="49" fontId="46" fillId="0" borderId="1" xfId="0" applyNumberFormat="1" applyFont="1" applyBorder="1" applyAlignment="1">
      <alignment horizontal="center" vertical="center" wrapText="1"/>
    </xf>
    <xf numFmtId="166" fontId="46" fillId="3" borderId="1" xfId="0" applyNumberFormat="1" applyFont="1" applyFill="1" applyBorder="1" applyAlignment="1">
      <alignment horizontal="center" vertical="center" wrapText="1"/>
    </xf>
    <xf numFmtId="167" fontId="50" fillId="0" borderId="1" xfId="0" applyNumberFormat="1" applyFont="1" applyBorder="1" applyAlignment="1">
      <alignment horizontal="center" vertical="center" wrapText="1"/>
    </xf>
    <xf numFmtId="169" fontId="50" fillId="0" borderId="1" xfId="0" applyNumberFormat="1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168" fontId="46" fillId="0" borderId="0" xfId="0" applyNumberFormat="1" applyFont="1" applyAlignment="1">
      <alignment horizontal="center" vertical="center" wrapText="1"/>
    </xf>
    <xf numFmtId="14" fontId="46" fillId="0" borderId="0" xfId="0" applyNumberFormat="1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168" fontId="46" fillId="0" borderId="0" xfId="0" applyNumberFormat="1" applyFont="1" applyAlignment="1">
      <alignment horizontal="left" vertical="center"/>
    </xf>
    <xf numFmtId="168" fontId="46" fillId="0" borderId="0" xfId="0" applyNumberFormat="1" applyFont="1" applyAlignment="1">
      <alignment horizontal="center" vertical="center"/>
    </xf>
    <xf numFmtId="1" fontId="42" fillId="6" borderId="0" xfId="0" applyNumberFormat="1" applyFont="1" applyFill="1" applyBorder="1" applyAlignment="1">
      <alignment horizontal="center" vertical="center" wrapText="1"/>
    </xf>
    <xf numFmtId="0" fontId="42" fillId="6" borderId="0" xfId="0" applyFont="1" applyFill="1" applyBorder="1" applyAlignment="1">
      <alignment horizontal="center" vertical="center" wrapText="1"/>
    </xf>
    <xf numFmtId="169" fontId="42" fillId="6" borderId="0" xfId="0" applyNumberFormat="1" applyFont="1" applyFill="1" applyBorder="1" applyAlignment="1">
      <alignment horizontal="center" vertical="center" wrapText="1"/>
    </xf>
    <xf numFmtId="1" fontId="42" fillId="0" borderId="0" xfId="0" applyNumberFormat="1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169" fontId="42" fillId="0" borderId="0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8" fontId="0" fillId="0" borderId="9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168" fontId="0" fillId="6" borderId="9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8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168" fontId="0" fillId="0" borderId="10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8" fontId="33" fillId="0" borderId="1" xfId="2" applyNumberFormat="1" applyFont="1" applyFill="1" applyBorder="1" applyAlignment="1">
      <alignment horizontal="center" vertical="center"/>
    </xf>
    <xf numFmtId="168" fontId="33" fillId="0" borderId="19" xfId="2" applyNumberFormat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8" fontId="33" fillId="0" borderId="9" xfId="2" applyNumberFormat="1" applyFont="1" applyFill="1" applyBorder="1" applyAlignment="1">
      <alignment horizontal="center" vertical="center"/>
    </xf>
    <xf numFmtId="168" fontId="33" fillId="0" borderId="4" xfId="2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8" fontId="33" fillId="0" borderId="2" xfId="2" applyNumberFormat="1" applyFont="1" applyFill="1" applyBorder="1" applyAlignment="1">
      <alignment horizontal="center" vertical="center"/>
    </xf>
    <xf numFmtId="168" fontId="33" fillId="0" borderId="18" xfId="2" applyNumberFormat="1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left" vertical="center" wrapText="1"/>
    </xf>
    <xf numFmtId="0" fontId="2" fillId="6" borderId="3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8" fontId="33" fillId="0" borderId="10" xfId="2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8" fontId="33" fillId="0" borderId="3" xfId="2" applyNumberFormat="1" applyFont="1" applyFill="1" applyBorder="1" applyAlignment="1">
      <alignment horizontal="center" vertical="center"/>
    </xf>
    <xf numFmtId="168" fontId="0" fillId="0" borderId="2" xfId="0" applyNumberFormat="1" applyBorder="1" applyAlignment="1">
      <alignment horizontal="center" vertical="center"/>
    </xf>
    <xf numFmtId="168" fontId="0" fillId="0" borderId="18" xfId="0" applyNumberFormat="1" applyBorder="1" applyAlignment="1">
      <alignment horizontal="center" vertical="center"/>
    </xf>
    <xf numFmtId="168" fontId="0" fillId="0" borderId="19" xfId="0" applyNumberForma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6" fillId="0" borderId="0" xfId="0" applyFont="1" applyAlignment="1">
      <alignment horizontal="left" vertical="center"/>
    </xf>
    <xf numFmtId="0" fontId="51" fillId="6" borderId="28" xfId="0" applyFont="1" applyFill="1" applyBorder="1" applyAlignment="1">
      <alignment horizontal="center" vertical="center" wrapText="1"/>
    </xf>
    <xf numFmtId="0" fontId="51" fillId="6" borderId="31" xfId="0" applyFont="1" applyFill="1" applyBorder="1" applyAlignment="1">
      <alignment horizontal="center" vertical="center" wrapText="1"/>
    </xf>
    <xf numFmtId="168" fontId="35" fillId="0" borderId="9" xfId="3" applyNumberFormat="1" applyFont="1" applyBorder="1" applyAlignment="1">
      <alignment horizontal="center" vertical="center" wrapText="1"/>
    </xf>
    <xf numFmtId="168" fontId="35" fillId="0" borderId="18" xfId="3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46" fillId="0" borderId="2" xfId="0" applyFont="1" applyBorder="1" applyAlignment="1">
      <alignment horizontal="left" vertical="center" wrapText="1"/>
    </xf>
    <xf numFmtId="0" fontId="46" fillId="0" borderId="3" xfId="0" applyFont="1" applyBorder="1" applyAlignment="1">
      <alignment horizontal="left" vertical="center" wrapText="1"/>
    </xf>
    <xf numFmtId="0" fontId="46" fillId="0" borderId="4" xfId="0" applyFont="1" applyBorder="1" applyAlignment="1">
      <alignment horizontal="left" vertical="center" wrapText="1"/>
    </xf>
    <xf numFmtId="0" fontId="50" fillId="4" borderId="1" xfId="0" applyFont="1" applyFill="1" applyBorder="1" applyAlignment="1">
      <alignment horizontal="center" vertical="center" wrapText="1"/>
    </xf>
    <xf numFmtId="0" fontId="51" fillId="0" borderId="28" xfId="0" applyFont="1" applyBorder="1" applyAlignment="1">
      <alignment horizontal="center" vertical="center" wrapText="1"/>
    </xf>
    <xf numFmtId="0" fontId="51" fillId="0" borderId="29" xfId="0" applyFont="1" applyBorder="1" applyAlignment="1">
      <alignment horizontal="center" vertical="center" wrapText="1"/>
    </xf>
    <xf numFmtId="0" fontId="51" fillId="0" borderId="31" xfId="0" applyFont="1" applyBorder="1" applyAlignment="1">
      <alignment horizontal="center" vertical="center" wrapText="1"/>
    </xf>
    <xf numFmtId="168" fontId="35" fillId="0" borderId="10" xfId="3" applyNumberFormat="1" applyFont="1" applyBorder="1" applyAlignment="1">
      <alignment horizontal="center" vertical="center" wrapText="1"/>
    </xf>
    <xf numFmtId="168" fontId="35" fillId="0" borderId="3" xfId="3" applyNumberFormat="1" applyFont="1" applyBorder="1" applyAlignment="1">
      <alignment horizontal="center" vertical="center" wrapText="1"/>
    </xf>
    <xf numFmtId="168" fontId="35" fillId="0" borderId="19" xfId="3" applyNumberFormat="1" applyFont="1" applyBorder="1" applyAlignment="1">
      <alignment horizontal="center" vertical="center" wrapText="1"/>
    </xf>
    <xf numFmtId="0" fontId="51" fillId="6" borderId="29" xfId="0" applyFont="1" applyFill="1" applyBorder="1" applyAlignment="1">
      <alignment horizontal="center" vertical="center" wrapText="1"/>
    </xf>
    <xf numFmtId="168" fontId="35" fillId="0" borderId="2" xfId="3" applyNumberFormat="1" applyFont="1" applyBorder="1" applyAlignment="1">
      <alignment horizontal="center" vertical="center" wrapText="1"/>
    </xf>
    <xf numFmtId="0" fontId="51" fillId="6" borderId="36" xfId="0" applyFont="1" applyFill="1" applyBorder="1" applyAlignment="1">
      <alignment horizontal="center" vertical="center" wrapText="1"/>
    </xf>
    <xf numFmtId="0" fontId="51" fillId="6" borderId="37" xfId="0" applyFont="1" applyFill="1" applyBorder="1" applyAlignment="1">
      <alignment horizontal="center" vertical="center" wrapText="1"/>
    </xf>
    <xf numFmtId="168" fontId="35" fillId="6" borderId="10" xfId="3" applyNumberFormat="1" applyFont="1" applyFill="1" applyBorder="1" applyAlignment="1">
      <alignment horizontal="center" vertical="center" wrapText="1"/>
    </xf>
    <xf numFmtId="168" fontId="35" fillId="6" borderId="3" xfId="3" applyNumberFormat="1" applyFont="1" applyFill="1" applyBorder="1" applyAlignment="1">
      <alignment horizontal="center" vertical="center" wrapText="1"/>
    </xf>
    <xf numFmtId="168" fontId="35" fillId="6" borderId="19" xfId="3" applyNumberFormat="1" applyFont="1" applyFill="1" applyBorder="1" applyAlignment="1">
      <alignment horizontal="center" vertical="center" wrapText="1"/>
    </xf>
    <xf numFmtId="0" fontId="51" fillId="6" borderId="33" xfId="0" applyFont="1" applyFill="1" applyBorder="1" applyAlignment="1">
      <alignment horizontal="center" vertical="center" wrapText="1"/>
    </xf>
    <xf numFmtId="168" fontId="35" fillId="6" borderId="9" xfId="3" applyNumberFormat="1" applyFont="1" applyFill="1" applyBorder="1" applyAlignment="1">
      <alignment horizontal="center" vertical="center" wrapText="1"/>
    </xf>
    <xf numFmtId="168" fontId="35" fillId="6" borderId="4" xfId="3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46" fillId="0" borderId="30" xfId="0" applyFont="1" applyBorder="1" applyAlignment="1">
      <alignment horizontal="left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5" fillId="8" borderId="2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5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66" fontId="0" fillId="0" borderId="1" xfId="0" applyNumberFormat="1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58" fillId="0" borderId="1" xfId="0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44" fillId="0" borderId="0" xfId="0" applyFont="1" applyAlignment="1">
      <alignment wrapText="1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>
      <alignment horizontal="center"/>
    </xf>
    <xf numFmtId="0" fontId="44" fillId="0" borderId="0" xfId="0" applyFont="1" applyBorder="1"/>
    <xf numFmtId="0" fontId="0" fillId="0" borderId="0" xfId="0" applyFont="1" applyBorder="1" applyAlignment="1"/>
    <xf numFmtId="0" fontId="0" fillId="0" borderId="0" xfId="0" applyBorder="1" applyAlignment="1"/>
    <xf numFmtId="0" fontId="0" fillId="0" borderId="0" xfId="0" applyBorder="1" applyProtection="1"/>
    <xf numFmtId="0" fontId="5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66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171" fontId="11" fillId="0" borderId="1" xfId="0" applyNumberFormat="1" applyFont="1" applyBorder="1" applyAlignment="1">
      <alignment vertical="center" wrapText="1"/>
    </xf>
    <xf numFmtId="171" fontId="31" fillId="0" borderId="1" xfId="0" applyNumberFormat="1" applyFont="1" applyFill="1" applyBorder="1" applyAlignment="1">
      <alignment vertical="center" wrapText="1"/>
    </xf>
    <xf numFmtId="166" fontId="44" fillId="0" borderId="1" xfId="0" applyNumberFormat="1" applyFont="1" applyBorder="1" applyAlignment="1">
      <alignment horizontal="center" vertical="center"/>
    </xf>
    <xf numFmtId="1" fontId="44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166" fontId="1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166" fontId="9" fillId="0" borderId="1" xfId="0" applyNumberFormat="1" applyFont="1" applyFill="1" applyBorder="1" applyAlignment="1">
      <alignment horizontal="center" vertical="center" wrapText="1"/>
    </xf>
    <xf numFmtId="166" fontId="20" fillId="0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</cellXfs>
  <cellStyles count="4">
    <cellStyle name="Normale" xfId="0" builtinId="0"/>
    <cellStyle name="Normale 2" xfId="1"/>
    <cellStyle name="Normale 3" xfId="3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topLeftCell="A121" workbookViewId="0">
      <selection activeCell="B137" sqref="B137"/>
    </sheetView>
  </sheetViews>
  <sheetFormatPr defaultColWidth="9.140625" defaultRowHeight="15"/>
  <cols>
    <col min="1" max="1" width="3.42578125" customWidth="1"/>
    <col min="2" max="2" width="40" customWidth="1"/>
    <col min="3" max="3" width="16.5703125" customWidth="1"/>
    <col min="4" max="4" width="25.42578125" customWidth="1"/>
    <col min="5" max="5" width="21" style="42" customWidth="1"/>
    <col min="6" max="6" width="15.42578125" customWidth="1"/>
    <col min="7" max="7" width="14.5703125" customWidth="1"/>
    <col min="8" max="8" width="48" customWidth="1"/>
  </cols>
  <sheetData>
    <row r="1" spans="2:8" ht="30" customHeight="1">
      <c r="B1" s="41" t="s">
        <v>0</v>
      </c>
      <c r="C1" s="41"/>
    </row>
    <row r="2" spans="2:8" ht="25.5" customHeight="1">
      <c r="B2" s="41" t="s">
        <v>71</v>
      </c>
      <c r="C2" s="41"/>
      <c r="E2" s="71"/>
      <c r="F2" s="43"/>
    </row>
    <row r="3" spans="2:8" ht="12.75" customHeight="1">
      <c r="B3" s="41"/>
      <c r="C3" s="41"/>
      <c r="E3" s="71"/>
      <c r="F3" s="43"/>
    </row>
    <row r="4" spans="2:8" ht="17.45" customHeight="1">
      <c r="B4" s="288" t="s">
        <v>245</v>
      </c>
      <c r="C4" s="288"/>
      <c r="D4" s="288"/>
      <c r="E4" s="288"/>
      <c r="F4" s="288"/>
      <c r="G4" s="288"/>
      <c r="H4" s="288"/>
    </row>
    <row r="5" spans="2:8" ht="31.5" customHeight="1">
      <c r="B5" s="288" t="s">
        <v>135</v>
      </c>
      <c r="C5" s="288"/>
      <c r="D5" s="288"/>
      <c r="E5" s="288"/>
      <c r="F5" s="288"/>
      <c r="G5" s="288"/>
      <c r="H5" s="288"/>
    </row>
    <row r="6" spans="2:8" ht="26.25" customHeight="1">
      <c r="B6" s="289" t="s">
        <v>2</v>
      </c>
      <c r="C6" s="289"/>
      <c r="D6" s="289"/>
      <c r="E6" s="289"/>
      <c r="F6" s="289"/>
      <c r="G6" s="289"/>
      <c r="H6" s="289"/>
    </row>
    <row r="7" spans="2:8" ht="84.6" customHeight="1" thickBot="1">
      <c r="B7" s="11" t="s">
        <v>3</v>
      </c>
      <c r="C7" s="290" t="s">
        <v>4</v>
      </c>
      <c r="D7" s="291"/>
      <c r="E7" s="72" t="s">
        <v>5</v>
      </c>
      <c r="F7" s="72" t="s">
        <v>6</v>
      </c>
      <c r="G7" s="72" t="s">
        <v>7</v>
      </c>
      <c r="H7" s="72" t="s">
        <v>8</v>
      </c>
    </row>
    <row r="8" spans="2:8" ht="37.5" customHeight="1">
      <c r="B8" s="292" t="s">
        <v>73</v>
      </c>
      <c r="C8" s="276" t="s">
        <v>136</v>
      </c>
      <c r="D8" s="277"/>
      <c r="E8" s="278">
        <v>453.31</v>
      </c>
      <c r="F8" s="73">
        <v>6.24</v>
      </c>
      <c r="G8" s="281">
        <v>2</v>
      </c>
      <c r="H8" s="74"/>
    </row>
    <row r="9" spans="2:8" ht="37.5" customHeight="1">
      <c r="B9" s="293"/>
      <c r="C9" s="284" t="s">
        <v>137</v>
      </c>
      <c r="D9" s="285"/>
      <c r="E9" s="279"/>
      <c r="F9" s="75">
        <v>3.12</v>
      </c>
      <c r="G9" s="282"/>
      <c r="H9" s="76"/>
    </row>
    <row r="10" spans="2:8" ht="37.5" customHeight="1">
      <c r="B10" s="293"/>
      <c r="C10" s="284" t="s">
        <v>138</v>
      </c>
      <c r="D10" s="285"/>
      <c r="E10" s="279"/>
      <c r="F10" s="75">
        <v>9.09</v>
      </c>
      <c r="G10" s="282"/>
      <c r="H10" s="76"/>
    </row>
    <row r="11" spans="2:8" ht="37.5" customHeight="1">
      <c r="B11" s="293"/>
      <c r="C11" s="284" t="s">
        <v>139</v>
      </c>
      <c r="D11" s="285"/>
      <c r="E11" s="279"/>
      <c r="F11" s="75">
        <v>4.54</v>
      </c>
      <c r="G11" s="282"/>
      <c r="H11" s="76"/>
    </row>
    <row r="12" spans="2:8" ht="37.5" customHeight="1">
      <c r="B12" s="293"/>
      <c r="C12" s="284" t="s">
        <v>140</v>
      </c>
      <c r="D12" s="285"/>
      <c r="E12" s="279"/>
      <c r="F12" s="75">
        <v>9.09</v>
      </c>
      <c r="G12" s="282"/>
      <c r="H12" s="76"/>
    </row>
    <row r="13" spans="2:8" ht="37.5" customHeight="1" thickBot="1">
      <c r="B13" s="293"/>
      <c r="C13" s="286" t="s">
        <v>141</v>
      </c>
      <c r="D13" s="287"/>
      <c r="E13" s="280"/>
      <c r="F13" s="77">
        <v>4.54</v>
      </c>
      <c r="G13" s="283"/>
      <c r="H13" s="78"/>
    </row>
    <row r="14" spans="2:8" ht="36.75" customHeight="1">
      <c r="B14" s="294"/>
      <c r="C14" s="276" t="s">
        <v>142</v>
      </c>
      <c r="D14" s="277"/>
      <c r="E14" s="278">
        <v>1376.9</v>
      </c>
      <c r="F14" s="73">
        <v>6.24</v>
      </c>
      <c r="G14" s="281">
        <v>3</v>
      </c>
      <c r="H14" s="74"/>
    </row>
    <row r="15" spans="2:8" ht="36.75" customHeight="1">
      <c r="B15" s="294"/>
      <c r="C15" s="284" t="s">
        <v>143</v>
      </c>
      <c r="D15" s="285"/>
      <c r="E15" s="279"/>
      <c r="F15" s="75">
        <v>3.12</v>
      </c>
      <c r="G15" s="282"/>
      <c r="H15" s="76"/>
    </row>
    <row r="16" spans="2:8" ht="36.75" customHeight="1">
      <c r="B16" s="294"/>
      <c r="C16" s="284" t="s">
        <v>144</v>
      </c>
      <c r="D16" s="285"/>
      <c r="E16" s="279"/>
      <c r="F16" s="75">
        <v>9.09</v>
      </c>
      <c r="G16" s="282"/>
      <c r="H16" s="76"/>
    </row>
    <row r="17" spans="2:8" ht="36.75" customHeight="1">
      <c r="B17" s="294"/>
      <c r="C17" s="284" t="s">
        <v>145</v>
      </c>
      <c r="D17" s="285"/>
      <c r="E17" s="279"/>
      <c r="F17" s="75">
        <v>4.54</v>
      </c>
      <c r="G17" s="282"/>
      <c r="H17" s="76"/>
    </row>
    <row r="18" spans="2:8" ht="36.75" customHeight="1">
      <c r="B18" s="294"/>
      <c r="C18" s="284" t="s">
        <v>146</v>
      </c>
      <c r="D18" s="285"/>
      <c r="E18" s="279"/>
      <c r="F18" s="75">
        <v>15.91</v>
      </c>
      <c r="G18" s="282"/>
      <c r="H18" s="76"/>
    </row>
    <row r="19" spans="2:8" ht="36.75" customHeight="1" thickBot="1">
      <c r="B19" s="294"/>
      <c r="C19" s="286" t="s">
        <v>147</v>
      </c>
      <c r="D19" s="287"/>
      <c r="E19" s="280"/>
      <c r="F19" s="77">
        <v>7.95</v>
      </c>
      <c r="G19" s="283"/>
      <c r="H19" s="78"/>
    </row>
    <row r="20" spans="2:8" ht="36.75" customHeight="1">
      <c r="B20" s="294"/>
      <c r="C20" s="276" t="s">
        <v>148</v>
      </c>
      <c r="D20" s="277"/>
      <c r="E20" s="278">
        <v>1527.57</v>
      </c>
      <c r="F20" s="73">
        <v>6.24</v>
      </c>
      <c r="G20" s="281">
        <v>3</v>
      </c>
      <c r="H20" s="74"/>
    </row>
    <row r="21" spans="2:8" ht="36.75" customHeight="1">
      <c r="B21" s="294"/>
      <c r="C21" s="284" t="s">
        <v>149</v>
      </c>
      <c r="D21" s="285"/>
      <c r="E21" s="279"/>
      <c r="F21" s="75">
        <v>3.12</v>
      </c>
      <c r="G21" s="282"/>
      <c r="H21" s="76"/>
    </row>
    <row r="22" spans="2:8" ht="36.75" customHeight="1">
      <c r="B22" s="294"/>
      <c r="C22" s="284" t="s">
        <v>150</v>
      </c>
      <c r="D22" s="285"/>
      <c r="E22" s="279"/>
      <c r="F22" s="75">
        <v>9.09</v>
      </c>
      <c r="G22" s="282"/>
      <c r="H22" s="76"/>
    </row>
    <row r="23" spans="2:8" ht="36.75" customHeight="1">
      <c r="B23" s="294"/>
      <c r="C23" s="284" t="s">
        <v>151</v>
      </c>
      <c r="D23" s="285"/>
      <c r="E23" s="279"/>
      <c r="F23" s="75">
        <v>4.54</v>
      </c>
      <c r="G23" s="282"/>
      <c r="H23" s="76"/>
    </row>
    <row r="24" spans="2:8" ht="36.75" customHeight="1">
      <c r="B24" s="294"/>
      <c r="C24" s="284" t="s">
        <v>152</v>
      </c>
      <c r="D24" s="285"/>
      <c r="E24" s="279"/>
      <c r="F24" s="79">
        <v>9.09</v>
      </c>
      <c r="G24" s="282"/>
      <c r="H24" s="76"/>
    </row>
    <row r="25" spans="2:8" ht="42.75" customHeight="1" thickBot="1">
      <c r="B25" s="294"/>
      <c r="C25" s="286" t="s">
        <v>153</v>
      </c>
      <c r="D25" s="287"/>
      <c r="E25" s="280"/>
      <c r="F25" s="77">
        <v>4.54</v>
      </c>
      <c r="G25" s="283"/>
      <c r="H25" s="78"/>
    </row>
    <row r="26" spans="2:8" ht="36.75" customHeight="1">
      <c r="B26" s="294"/>
      <c r="C26" s="276" t="s">
        <v>154</v>
      </c>
      <c r="D26" s="277"/>
      <c r="E26" s="278">
        <v>1510.47</v>
      </c>
      <c r="F26" s="73">
        <v>6.24</v>
      </c>
      <c r="G26" s="281">
        <v>7</v>
      </c>
      <c r="H26" s="74"/>
    </row>
    <row r="27" spans="2:8" ht="36.75" customHeight="1">
      <c r="B27" s="294"/>
      <c r="C27" s="284" t="s">
        <v>155</v>
      </c>
      <c r="D27" s="285"/>
      <c r="E27" s="279"/>
      <c r="F27" s="75">
        <v>3.12</v>
      </c>
      <c r="G27" s="282"/>
      <c r="H27" s="76"/>
    </row>
    <row r="28" spans="2:8" ht="48.75" customHeight="1">
      <c r="B28" s="294"/>
      <c r="C28" s="284" t="s">
        <v>156</v>
      </c>
      <c r="D28" s="285"/>
      <c r="E28" s="279"/>
      <c r="F28" s="75">
        <v>9.09</v>
      </c>
      <c r="G28" s="282"/>
      <c r="H28" s="76"/>
    </row>
    <row r="29" spans="2:8" ht="46.5" customHeight="1">
      <c r="B29" s="294"/>
      <c r="C29" s="284" t="s">
        <v>157</v>
      </c>
      <c r="D29" s="285"/>
      <c r="E29" s="279"/>
      <c r="F29" s="75">
        <v>4.54</v>
      </c>
      <c r="G29" s="282"/>
      <c r="H29" s="76"/>
    </row>
    <row r="30" spans="2:8" ht="42" customHeight="1">
      <c r="B30" s="294"/>
      <c r="C30" s="284" t="s">
        <v>158</v>
      </c>
      <c r="D30" s="285"/>
      <c r="E30" s="279"/>
      <c r="F30" s="79">
        <v>9.09</v>
      </c>
      <c r="G30" s="282"/>
      <c r="H30" s="76"/>
    </row>
    <row r="31" spans="2:8" ht="43.5" customHeight="1" thickBot="1">
      <c r="B31" s="294"/>
      <c r="C31" s="286" t="s">
        <v>159</v>
      </c>
      <c r="D31" s="287"/>
      <c r="E31" s="280"/>
      <c r="F31" s="77">
        <v>4.54</v>
      </c>
      <c r="G31" s="283"/>
      <c r="H31" s="78"/>
    </row>
    <row r="32" spans="2:8" ht="36.75" customHeight="1">
      <c r="B32" s="294"/>
      <c r="C32" s="276" t="s">
        <v>160</v>
      </c>
      <c r="D32" s="277"/>
      <c r="E32" s="278">
        <v>1357.19</v>
      </c>
      <c r="F32" s="73">
        <v>6.24</v>
      </c>
      <c r="G32" s="281">
        <v>9</v>
      </c>
      <c r="H32" s="74"/>
    </row>
    <row r="33" spans="2:8" ht="36.75" customHeight="1">
      <c r="B33" s="294"/>
      <c r="C33" s="284" t="s">
        <v>161</v>
      </c>
      <c r="D33" s="285"/>
      <c r="E33" s="279"/>
      <c r="F33" s="75">
        <v>3.12</v>
      </c>
      <c r="G33" s="282"/>
      <c r="H33" s="80"/>
    </row>
    <row r="34" spans="2:8" ht="36.75" customHeight="1">
      <c r="B34" s="294"/>
      <c r="C34" s="284" t="s">
        <v>162</v>
      </c>
      <c r="D34" s="285"/>
      <c r="E34" s="279"/>
      <c r="F34" s="75">
        <v>9.09</v>
      </c>
      <c r="G34" s="282"/>
      <c r="H34" s="80"/>
    </row>
    <row r="35" spans="2:8" ht="36.75" customHeight="1">
      <c r="B35" s="294"/>
      <c r="C35" s="284" t="s">
        <v>163</v>
      </c>
      <c r="D35" s="285"/>
      <c r="E35" s="279"/>
      <c r="F35" s="75">
        <v>4.54</v>
      </c>
      <c r="G35" s="282"/>
      <c r="H35" s="80"/>
    </row>
    <row r="36" spans="2:8" ht="36.75" customHeight="1">
      <c r="B36" s="294"/>
      <c r="C36" s="284" t="s">
        <v>164</v>
      </c>
      <c r="D36" s="285"/>
      <c r="E36" s="279"/>
      <c r="F36" s="79">
        <v>9.09</v>
      </c>
      <c r="G36" s="282"/>
      <c r="H36" s="80"/>
    </row>
    <row r="37" spans="2:8" ht="36.75" customHeight="1" thickBot="1">
      <c r="B37" s="294"/>
      <c r="C37" s="286" t="s">
        <v>165</v>
      </c>
      <c r="D37" s="287"/>
      <c r="E37" s="280"/>
      <c r="F37" s="77">
        <v>4.54</v>
      </c>
      <c r="G37" s="283"/>
      <c r="H37" s="78"/>
    </row>
    <row r="38" spans="2:8" ht="36.75" customHeight="1">
      <c r="B38" s="294"/>
      <c r="C38" s="276" t="s">
        <v>166</v>
      </c>
      <c r="D38" s="277"/>
      <c r="E38" s="278">
        <v>1154.02</v>
      </c>
      <c r="F38" s="73">
        <v>6.24</v>
      </c>
      <c r="G38" s="281">
        <v>3</v>
      </c>
      <c r="H38" s="74"/>
    </row>
    <row r="39" spans="2:8" ht="36.75" customHeight="1">
      <c r="B39" s="294"/>
      <c r="C39" s="284" t="s">
        <v>167</v>
      </c>
      <c r="D39" s="285"/>
      <c r="E39" s="279"/>
      <c r="F39" s="75">
        <v>3.12</v>
      </c>
      <c r="G39" s="282"/>
      <c r="H39" s="80"/>
    </row>
    <row r="40" spans="2:8" ht="36.75" customHeight="1">
      <c r="B40" s="294"/>
      <c r="C40" s="284" t="s">
        <v>168</v>
      </c>
      <c r="D40" s="285"/>
      <c r="E40" s="279"/>
      <c r="F40" s="75">
        <v>15.91</v>
      </c>
      <c r="G40" s="282"/>
      <c r="H40" s="80"/>
    </row>
    <row r="41" spans="2:8" ht="47.25" customHeight="1" thickBot="1">
      <c r="B41" s="294"/>
      <c r="C41" s="286" t="s">
        <v>169</v>
      </c>
      <c r="D41" s="287"/>
      <c r="E41" s="280"/>
      <c r="F41" s="77">
        <v>7.95</v>
      </c>
      <c r="G41" s="283"/>
      <c r="H41" s="78"/>
    </row>
    <row r="42" spans="2:8" ht="36.75" customHeight="1">
      <c r="B42" s="294"/>
      <c r="C42" s="276" t="s">
        <v>170</v>
      </c>
      <c r="D42" s="277"/>
      <c r="E42" s="278">
        <v>764.56</v>
      </c>
      <c r="F42" s="73">
        <v>6.24</v>
      </c>
      <c r="G42" s="281">
        <v>5</v>
      </c>
      <c r="H42" s="74"/>
    </row>
    <row r="43" spans="2:8" ht="36.75" customHeight="1">
      <c r="B43" s="294"/>
      <c r="C43" s="284" t="s">
        <v>171</v>
      </c>
      <c r="D43" s="285"/>
      <c r="E43" s="279"/>
      <c r="F43" s="75">
        <v>3.12</v>
      </c>
      <c r="G43" s="282"/>
      <c r="H43" s="76"/>
    </row>
    <row r="44" spans="2:8" ht="36.75" customHeight="1">
      <c r="B44" s="294"/>
      <c r="C44" s="284" t="s">
        <v>172</v>
      </c>
      <c r="D44" s="285"/>
      <c r="E44" s="279"/>
      <c r="F44" s="75">
        <v>15.91</v>
      </c>
      <c r="G44" s="282"/>
      <c r="H44" s="76"/>
    </row>
    <row r="45" spans="2:8" ht="36.75" customHeight="1" thickBot="1">
      <c r="B45" s="294"/>
      <c r="C45" s="286" t="s">
        <v>173</v>
      </c>
      <c r="D45" s="287"/>
      <c r="E45" s="280"/>
      <c r="F45" s="77">
        <v>7.95</v>
      </c>
      <c r="G45" s="283"/>
      <c r="H45" s="78"/>
    </row>
    <row r="46" spans="2:8" ht="36.75" customHeight="1">
      <c r="B46" s="294"/>
      <c r="C46" s="276" t="s">
        <v>174</v>
      </c>
      <c r="D46" s="277"/>
      <c r="E46" s="296">
        <v>3123.8</v>
      </c>
      <c r="F46" s="73">
        <v>6.24</v>
      </c>
      <c r="G46" s="281">
        <v>4</v>
      </c>
      <c r="H46" s="74"/>
    </row>
    <row r="47" spans="2:8" ht="36.75" customHeight="1">
      <c r="B47" s="294"/>
      <c r="C47" s="284" t="s">
        <v>175</v>
      </c>
      <c r="D47" s="285"/>
      <c r="E47" s="279"/>
      <c r="F47" s="75">
        <v>3.12</v>
      </c>
      <c r="G47" s="282"/>
      <c r="H47" s="80"/>
    </row>
    <row r="48" spans="2:8" ht="47.25" customHeight="1">
      <c r="B48" s="294"/>
      <c r="C48" s="284" t="s">
        <v>176</v>
      </c>
      <c r="D48" s="285"/>
      <c r="E48" s="279"/>
      <c r="F48" s="75">
        <v>15.91</v>
      </c>
      <c r="G48" s="282"/>
      <c r="H48" s="80"/>
    </row>
    <row r="49" spans="2:8" ht="49.5" customHeight="1" thickBot="1">
      <c r="B49" s="294"/>
      <c r="C49" s="286" t="s">
        <v>177</v>
      </c>
      <c r="D49" s="287"/>
      <c r="E49" s="280"/>
      <c r="F49" s="77">
        <v>7.95</v>
      </c>
      <c r="G49" s="283"/>
      <c r="H49" s="81"/>
    </row>
    <row r="50" spans="2:8" ht="36.75" customHeight="1">
      <c r="B50" s="294"/>
      <c r="C50" s="276" t="s">
        <v>178</v>
      </c>
      <c r="D50" s="277"/>
      <c r="E50" s="278">
        <v>709.15</v>
      </c>
      <c r="F50" s="73">
        <v>6.24</v>
      </c>
      <c r="G50" s="281">
        <v>2</v>
      </c>
      <c r="H50" s="74"/>
    </row>
    <row r="51" spans="2:8" ht="36.75" customHeight="1">
      <c r="B51" s="294"/>
      <c r="C51" s="284" t="s">
        <v>179</v>
      </c>
      <c r="D51" s="285"/>
      <c r="E51" s="279"/>
      <c r="F51" s="75">
        <v>3.12</v>
      </c>
      <c r="G51" s="282"/>
      <c r="H51" s="80"/>
    </row>
    <row r="52" spans="2:8" ht="45.75" customHeight="1">
      <c r="B52" s="294"/>
      <c r="C52" s="284" t="s">
        <v>180</v>
      </c>
      <c r="D52" s="285"/>
      <c r="E52" s="279"/>
      <c r="F52" s="75">
        <v>9.09</v>
      </c>
      <c r="G52" s="282"/>
      <c r="H52" s="80"/>
    </row>
    <row r="53" spans="2:8" ht="47.25" customHeight="1" thickBot="1">
      <c r="B53" s="294"/>
      <c r="C53" s="286" t="s">
        <v>181</v>
      </c>
      <c r="D53" s="287"/>
      <c r="E53" s="280"/>
      <c r="F53" s="77">
        <v>4.54</v>
      </c>
      <c r="G53" s="283"/>
      <c r="H53" s="81"/>
    </row>
    <row r="54" spans="2:8" ht="36.75" customHeight="1">
      <c r="B54" s="294"/>
      <c r="C54" s="276" t="s">
        <v>182</v>
      </c>
      <c r="D54" s="277"/>
      <c r="E54" s="278">
        <v>2247.4299999999998</v>
      </c>
      <c r="F54" s="73">
        <v>6.24</v>
      </c>
      <c r="G54" s="281">
        <v>2</v>
      </c>
      <c r="H54" s="74"/>
    </row>
    <row r="55" spans="2:8" ht="36.75" customHeight="1">
      <c r="B55" s="294"/>
      <c r="C55" s="284" t="s">
        <v>183</v>
      </c>
      <c r="D55" s="285"/>
      <c r="E55" s="279"/>
      <c r="F55" s="75">
        <v>3.12</v>
      </c>
      <c r="G55" s="282"/>
      <c r="H55" s="80"/>
    </row>
    <row r="56" spans="2:8" ht="48" customHeight="1">
      <c r="B56" s="294"/>
      <c r="C56" s="284" t="s">
        <v>184</v>
      </c>
      <c r="D56" s="285"/>
      <c r="E56" s="279"/>
      <c r="F56" s="75">
        <v>9.09</v>
      </c>
      <c r="G56" s="282"/>
      <c r="H56" s="80"/>
    </row>
    <row r="57" spans="2:8" ht="50.25" customHeight="1" thickBot="1">
      <c r="B57" s="294"/>
      <c r="C57" s="286" t="s">
        <v>185</v>
      </c>
      <c r="D57" s="287"/>
      <c r="E57" s="280"/>
      <c r="F57" s="77">
        <v>4.54</v>
      </c>
      <c r="G57" s="283"/>
      <c r="H57" s="78"/>
    </row>
    <row r="58" spans="2:8" ht="36.75" customHeight="1">
      <c r="B58" s="294"/>
      <c r="C58" s="276" t="s">
        <v>186</v>
      </c>
      <c r="D58" s="277"/>
      <c r="E58" s="278">
        <v>234.8</v>
      </c>
      <c r="F58" s="73">
        <v>6.24</v>
      </c>
      <c r="G58" s="281">
        <v>3</v>
      </c>
      <c r="H58" s="74"/>
    </row>
    <row r="59" spans="2:8" ht="36.75" customHeight="1">
      <c r="B59" s="294"/>
      <c r="C59" s="284" t="s">
        <v>187</v>
      </c>
      <c r="D59" s="285"/>
      <c r="E59" s="279"/>
      <c r="F59" s="75">
        <v>3.12</v>
      </c>
      <c r="G59" s="282"/>
      <c r="H59" s="80"/>
    </row>
    <row r="60" spans="2:8" ht="36.75" customHeight="1">
      <c r="B60" s="294"/>
      <c r="C60" s="284" t="s">
        <v>188</v>
      </c>
      <c r="D60" s="285"/>
      <c r="E60" s="279"/>
      <c r="F60" s="75">
        <v>15.91</v>
      </c>
      <c r="G60" s="282"/>
      <c r="H60" s="80"/>
    </row>
    <row r="61" spans="2:8" ht="36.75" customHeight="1" thickBot="1">
      <c r="B61" s="294"/>
      <c r="C61" s="286" t="s">
        <v>189</v>
      </c>
      <c r="D61" s="287"/>
      <c r="E61" s="280"/>
      <c r="F61" s="77">
        <v>7.95</v>
      </c>
      <c r="G61" s="283"/>
      <c r="H61" s="78"/>
    </row>
    <row r="62" spans="2:8" ht="36.75" customHeight="1">
      <c r="B62" s="294"/>
      <c r="C62" s="276" t="s">
        <v>190</v>
      </c>
      <c r="D62" s="277"/>
      <c r="E62" s="278">
        <v>0</v>
      </c>
      <c r="F62" s="73">
        <v>6.24</v>
      </c>
      <c r="G62" s="281">
        <v>0</v>
      </c>
      <c r="H62" s="333" t="s">
        <v>126</v>
      </c>
    </row>
    <row r="63" spans="2:8" ht="36.75" customHeight="1">
      <c r="B63" s="294"/>
      <c r="C63" s="284" t="s">
        <v>191</v>
      </c>
      <c r="D63" s="285"/>
      <c r="E63" s="279"/>
      <c r="F63" s="75">
        <v>3.12</v>
      </c>
      <c r="G63" s="282"/>
      <c r="H63" s="334"/>
    </row>
    <row r="64" spans="2:8" ht="36.75" customHeight="1">
      <c r="B64" s="294"/>
      <c r="C64" s="284" t="s">
        <v>192</v>
      </c>
      <c r="D64" s="285"/>
      <c r="E64" s="279"/>
      <c r="F64" s="75">
        <v>9.09</v>
      </c>
      <c r="G64" s="282"/>
      <c r="H64" s="334"/>
    </row>
    <row r="65" spans="2:8" ht="36.75" customHeight="1" thickBot="1">
      <c r="B65" s="294"/>
      <c r="C65" s="286" t="s">
        <v>193</v>
      </c>
      <c r="D65" s="287"/>
      <c r="E65" s="280"/>
      <c r="F65" s="77">
        <v>4.54</v>
      </c>
      <c r="G65" s="283"/>
      <c r="H65" s="335"/>
    </row>
    <row r="66" spans="2:8" ht="36.75" customHeight="1">
      <c r="B66" s="294"/>
      <c r="C66" s="276" t="s">
        <v>194</v>
      </c>
      <c r="D66" s="277"/>
      <c r="E66" s="278">
        <v>0</v>
      </c>
      <c r="F66" s="73">
        <v>6.24</v>
      </c>
      <c r="G66" s="281">
        <v>0</v>
      </c>
      <c r="H66" s="333" t="s">
        <v>126</v>
      </c>
    </row>
    <row r="67" spans="2:8" ht="36.75" customHeight="1">
      <c r="B67" s="294"/>
      <c r="C67" s="284" t="s">
        <v>195</v>
      </c>
      <c r="D67" s="285"/>
      <c r="E67" s="279"/>
      <c r="F67" s="75">
        <v>3.12</v>
      </c>
      <c r="G67" s="282"/>
      <c r="H67" s="334"/>
    </row>
    <row r="68" spans="2:8" ht="36.75" customHeight="1">
      <c r="B68" s="294"/>
      <c r="C68" s="284" t="s">
        <v>196</v>
      </c>
      <c r="D68" s="285"/>
      <c r="E68" s="279"/>
      <c r="F68" s="75">
        <v>15.91</v>
      </c>
      <c r="G68" s="282"/>
      <c r="H68" s="334"/>
    </row>
    <row r="69" spans="2:8" ht="36.75" customHeight="1" thickBot="1">
      <c r="B69" s="294"/>
      <c r="C69" s="286" t="s">
        <v>197</v>
      </c>
      <c r="D69" s="287"/>
      <c r="E69" s="280"/>
      <c r="F69" s="77">
        <v>7.95</v>
      </c>
      <c r="G69" s="283"/>
      <c r="H69" s="335"/>
    </row>
    <row r="70" spans="2:8" ht="36.75" customHeight="1">
      <c r="B70" s="294"/>
      <c r="C70" s="276" t="s">
        <v>198</v>
      </c>
      <c r="D70" s="277"/>
      <c r="E70" s="278">
        <v>0</v>
      </c>
      <c r="F70" s="73">
        <v>6.24</v>
      </c>
      <c r="G70" s="281">
        <v>0</v>
      </c>
      <c r="H70" s="333" t="s">
        <v>126</v>
      </c>
    </row>
    <row r="71" spans="2:8" ht="36.75" customHeight="1">
      <c r="B71" s="294"/>
      <c r="C71" s="284" t="s">
        <v>199</v>
      </c>
      <c r="D71" s="285"/>
      <c r="E71" s="279"/>
      <c r="F71" s="75">
        <v>3.12</v>
      </c>
      <c r="G71" s="282"/>
      <c r="H71" s="334"/>
    </row>
    <row r="72" spans="2:8" ht="45" customHeight="1">
      <c r="B72" s="294"/>
      <c r="C72" s="284" t="s">
        <v>200</v>
      </c>
      <c r="D72" s="285"/>
      <c r="E72" s="279"/>
      <c r="F72" s="75">
        <v>15.91</v>
      </c>
      <c r="G72" s="282"/>
      <c r="H72" s="334"/>
    </row>
    <row r="73" spans="2:8" ht="48.75" customHeight="1" thickBot="1">
      <c r="B73" s="294"/>
      <c r="C73" s="284" t="s">
        <v>201</v>
      </c>
      <c r="D73" s="285"/>
      <c r="E73" s="279"/>
      <c r="F73" s="82">
        <v>7.95</v>
      </c>
      <c r="G73" s="282"/>
      <c r="H73" s="335"/>
    </row>
    <row r="74" spans="2:8" ht="36.75" customHeight="1">
      <c r="B74" s="294"/>
      <c r="C74" s="276" t="s">
        <v>202</v>
      </c>
      <c r="D74" s="301"/>
      <c r="E74" s="302">
        <v>0</v>
      </c>
      <c r="F74" s="73">
        <v>6.24</v>
      </c>
      <c r="G74" s="281">
        <v>0</v>
      </c>
      <c r="H74" s="333" t="s">
        <v>126</v>
      </c>
    </row>
    <row r="75" spans="2:8" ht="36.75" customHeight="1">
      <c r="B75" s="294"/>
      <c r="C75" s="284" t="s">
        <v>203</v>
      </c>
      <c r="D75" s="297"/>
      <c r="E75" s="299"/>
      <c r="F75" s="75">
        <v>3.12</v>
      </c>
      <c r="G75" s="282"/>
      <c r="H75" s="334"/>
    </row>
    <row r="76" spans="2:8" ht="36.75" customHeight="1">
      <c r="B76" s="294"/>
      <c r="C76" s="284" t="s">
        <v>204</v>
      </c>
      <c r="D76" s="297"/>
      <c r="E76" s="299"/>
      <c r="F76" s="75">
        <v>9.09</v>
      </c>
      <c r="G76" s="282"/>
      <c r="H76" s="334"/>
    </row>
    <row r="77" spans="2:8" ht="36.75" customHeight="1" thickBot="1">
      <c r="B77" s="294"/>
      <c r="C77" s="286" t="s">
        <v>205</v>
      </c>
      <c r="D77" s="304"/>
      <c r="E77" s="303"/>
      <c r="F77" s="77">
        <v>4.54</v>
      </c>
      <c r="G77" s="283"/>
      <c r="H77" s="335"/>
    </row>
    <row r="78" spans="2:8" ht="36.75" customHeight="1">
      <c r="B78" s="294"/>
      <c r="C78" s="284" t="s">
        <v>206</v>
      </c>
      <c r="D78" s="297"/>
      <c r="E78" s="298">
        <v>0</v>
      </c>
      <c r="F78" s="79">
        <v>6.24</v>
      </c>
      <c r="G78" s="282">
        <v>0</v>
      </c>
      <c r="H78" s="333" t="s">
        <v>126</v>
      </c>
    </row>
    <row r="79" spans="2:8" ht="36.75" customHeight="1">
      <c r="B79" s="294"/>
      <c r="C79" s="284" t="s">
        <v>207</v>
      </c>
      <c r="D79" s="297"/>
      <c r="E79" s="299"/>
      <c r="F79" s="75">
        <v>3.12</v>
      </c>
      <c r="G79" s="282"/>
      <c r="H79" s="334"/>
    </row>
    <row r="80" spans="2:8" ht="36.75" customHeight="1">
      <c r="B80" s="294"/>
      <c r="C80" s="284" t="s">
        <v>208</v>
      </c>
      <c r="D80" s="297"/>
      <c r="E80" s="299"/>
      <c r="F80" s="75">
        <v>9.09</v>
      </c>
      <c r="G80" s="282"/>
      <c r="H80" s="334"/>
    </row>
    <row r="81" spans="2:8" ht="36.75" customHeight="1" thickBot="1">
      <c r="B81" s="294"/>
      <c r="C81" s="284" t="s">
        <v>209</v>
      </c>
      <c r="D81" s="297"/>
      <c r="E81" s="300"/>
      <c r="F81" s="82">
        <v>4.54</v>
      </c>
      <c r="G81" s="282"/>
      <c r="H81" s="335"/>
    </row>
    <row r="82" spans="2:8" ht="36.75" customHeight="1">
      <c r="B82" s="294"/>
      <c r="C82" s="276" t="s">
        <v>210</v>
      </c>
      <c r="D82" s="301"/>
      <c r="E82" s="302">
        <v>0</v>
      </c>
      <c r="F82" s="73">
        <v>6.24</v>
      </c>
      <c r="G82" s="281">
        <v>0</v>
      </c>
      <c r="H82" s="333" t="s">
        <v>126</v>
      </c>
    </row>
    <row r="83" spans="2:8" ht="36.75" customHeight="1">
      <c r="B83" s="295"/>
      <c r="C83" s="284" t="s">
        <v>211</v>
      </c>
      <c r="D83" s="297"/>
      <c r="E83" s="299"/>
      <c r="F83" s="75">
        <v>3.12</v>
      </c>
      <c r="G83" s="282"/>
      <c r="H83" s="334"/>
    </row>
    <row r="84" spans="2:8" ht="36.75" customHeight="1">
      <c r="B84" s="295"/>
      <c r="C84" s="284" t="s">
        <v>212</v>
      </c>
      <c r="D84" s="297"/>
      <c r="E84" s="299"/>
      <c r="F84" s="75">
        <v>9.09</v>
      </c>
      <c r="G84" s="282"/>
      <c r="H84" s="334"/>
    </row>
    <row r="85" spans="2:8" ht="42" customHeight="1" thickBot="1">
      <c r="B85" s="295"/>
      <c r="C85" s="286" t="s">
        <v>213</v>
      </c>
      <c r="D85" s="304"/>
      <c r="E85" s="303"/>
      <c r="F85" s="77">
        <v>4.54</v>
      </c>
      <c r="G85" s="283"/>
      <c r="H85" s="335"/>
    </row>
    <row r="86" spans="2:8" ht="25.5" customHeight="1" thickBot="1">
      <c r="B86" s="83" t="s">
        <v>50</v>
      </c>
      <c r="C86" s="84"/>
      <c r="D86" s="85"/>
      <c r="E86" s="86">
        <f>SUM(E8:E82)</f>
        <v>14459.199999999999</v>
      </c>
      <c r="F86" s="109">
        <f>SUM(F8:F85)</f>
        <v>530.59000000000015</v>
      </c>
      <c r="G86" s="87">
        <f>SUM(G8:G82)</f>
        <v>43</v>
      </c>
      <c r="H86" s="88"/>
    </row>
    <row r="87" spans="2:8" ht="18" customHeight="1">
      <c r="B87" s="327" t="s">
        <v>51</v>
      </c>
      <c r="C87" s="316" t="s">
        <v>214</v>
      </c>
      <c r="D87" s="329" t="s">
        <v>215</v>
      </c>
      <c r="E87" s="302">
        <v>546.01</v>
      </c>
      <c r="F87" s="89">
        <v>5</v>
      </c>
      <c r="G87" s="331">
        <v>17</v>
      </c>
      <c r="H87" s="90" t="s">
        <v>216</v>
      </c>
    </row>
    <row r="88" spans="2:8" ht="18" customHeight="1">
      <c r="B88" s="327"/>
      <c r="C88" s="317"/>
      <c r="D88" s="305"/>
      <c r="E88" s="330"/>
      <c r="F88" s="92">
        <v>25</v>
      </c>
      <c r="G88" s="299"/>
      <c r="H88" s="93" t="s">
        <v>217</v>
      </c>
    </row>
    <row r="89" spans="2:8" ht="18" customHeight="1">
      <c r="B89" s="327"/>
      <c r="C89" s="317"/>
      <c r="D89" s="305" t="s">
        <v>218</v>
      </c>
      <c r="E89" s="330">
        <v>0</v>
      </c>
      <c r="F89" s="92">
        <v>3.7</v>
      </c>
      <c r="G89" s="299">
        <v>2</v>
      </c>
      <c r="H89" s="93" t="s">
        <v>219</v>
      </c>
    </row>
    <row r="90" spans="2:8" ht="18" customHeight="1">
      <c r="B90" s="328"/>
      <c r="C90" s="317"/>
      <c r="D90" s="305"/>
      <c r="E90" s="330"/>
      <c r="F90" s="92">
        <v>18.5</v>
      </c>
      <c r="G90" s="299"/>
      <c r="H90" s="93" t="s">
        <v>220</v>
      </c>
    </row>
    <row r="91" spans="2:8" ht="18" customHeight="1">
      <c r="B91" s="328"/>
      <c r="C91" s="317"/>
      <c r="D91" s="305" t="s">
        <v>221</v>
      </c>
      <c r="E91" s="330">
        <v>0</v>
      </c>
      <c r="F91" s="92">
        <v>3.7</v>
      </c>
      <c r="G91" s="299">
        <v>0</v>
      </c>
      <c r="H91" s="93" t="s">
        <v>219</v>
      </c>
    </row>
    <row r="92" spans="2:8" ht="18" customHeight="1">
      <c r="B92" s="328"/>
      <c r="C92" s="317"/>
      <c r="D92" s="305"/>
      <c r="E92" s="330"/>
      <c r="F92" s="92">
        <v>18.5</v>
      </c>
      <c r="G92" s="299"/>
      <c r="H92" s="93" t="s">
        <v>220</v>
      </c>
    </row>
    <row r="93" spans="2:8" ht="18" customHeight="1">
      <c r="B93" s="328"/>
      <c r="C93" s="317"/>
      <c r="D93" s="305" t="s">
        <v>222</v>
      </c>
      <c r="E93" s="330">
        <v>0</v>
      </c>
      <c r="F93" s="92">
        <v>5</v>
      </c>
      <c r="G93" s="299">
        <v>2</v>
      </c>
      <c r="H93" s="93" t="s">
        <v>216</v>
      </c>
    </row>
    <row r="94" spans="2:8" ht="18" customHeight="1" thickBot="1">
      <c r="B94" s="328"/>
      <c r="C94" s="318"/>
      <c r="D94" s="306"/>
      <c r="E94" s="339"/>
      <c r="F94" s="94">
        <v>25</v>
      </c>
      <c r="G94" s="303"/>
      <c r="H94" s="95" t="s">
        <v>217</v>
      </c>
    </row>
    <row r="95" spans="2:8" ht="18" customHeight="1">
      <c r="B95" s="328"/>
      <c r="C95" s="316" t="s">
        <v>223</v>
      </c>
      <c r="D95" s="281" t="s">
        <v>224</v>
      </c>
      <c r="E95" s="320">
        <v>921.61</v>
      </c>
      <c r="F95" s="89">
        <v>5</v>
      </c>
      <c r="G95" s="322">
        <v>11</v>
      </c>
      <c r="H95" s="90" t="s">
        <v>216</v>
      </c>
    </row>
    <row r="96" spans="2:8" ht="18" customHeight="1">
      <c r="B96" s="328"/>
      <c r="C96" s="317"/>
      <c r="D96" s="319"/>
      <c r="E96" s="321"/>
      <c r="F96" s="96">
        <v>25</v>
      </c>
      <c r="G96" s="323"/>
      <c r="H96" s="93" t="s">
        <v>217</v>
      </c>
    </row>
    <row r="97" spans="2:8" ht="18" customHeight="1">
      <c r="B97" s="328"/>
      <c r="C97" s="317"/>
      <c r="D97" s="324" t="s">
        <v>225</v>
      </c>
      <c r="E97" s="325">
        <v>0</v>
      </c>
      <c r="F97" s="96">
        <v>3.7</v>
      </c>
      <c r="G97" s="300">
        <v>0</v>
      </c>
      <c r="H97" s="93" t="s">
        <v>219</v>
      </c>
    </row>
    <row r="98" spans="2:8" ht="18" customHeight="1" thickBot="1">
      <c r="B98" s="328"/>
      <c r="C98" s="318"/>
      <c r="D98" s="283"/>
      <c r="E98" s="326"/>
      <c r="F98" s="94">
        <v>18.5</v>
      </c>
      <c r="G98" s="280"/>
      <c r="H98" s="95" t="s">
        <v>220</v>
      </c>
    </row>
    <row r="99" spans="2:8" ht="18" customHeight="1">
      <c r="B99" s="328"/>
      <c r="C99" s="316" t="s">
        <v>226</v>
      </c>
      <c r="D99" s="329" t="s">
        <v>227</v>
      </c>
      <c r="E99" s="332">
        <v>0</v>
      </c>
      <c r="F99" s="89">
        <v>3.7</v>
      </c>
      <c r="G99" s="331">
        <v>0</v>
      </c>
      <c r="H99" s="90" t="s">
        <v>219</v>
      </c>
    </row>
    <row r="100" spans="2:8" ht="18" customHeight="1">
      <c r="B100" s="328"/>
      <c r="C100" s="317"/>
      <c r="D100" s="305"/>
      <c r="E100" s="307"/>
      <c r="F100" s="92">
        <v>18.5</v>
      </c>
      <c r="G100" s="299"/>
      <c r="H100" s="93" t="s">
        <v>220</v>
      </c>
    </row>
    <row r="101" spans="2:8" ht="18" customHeight="1">
      <c r="B101" s="328"/>
      <c r="C101" s="317"/>
      <c r="D101" s="305" t="s">
        <v>228</v>
      </c>
      <c r="E101" s="307">
        <v>0</v>
      </c>
      <c r="F101" s="92">
        <v>3.7</v>
      </c>
      <c r="G101" s="299">
        <v>2</v>
      </c>
      <c r="H101" s="93" t="s">
        <v>219</v>
      </c>
    </row>
    <row r="102" spans="2:8" ht="18" customHeight="1">
      <c r="B102" s="328"/>
      <c r="C102" s="317"/>
      <c r="D102" s="305"/>
      <c r="E102" s="307"/>
      <c r="F102" s="92">
        <v>18.5</v>
      </c>
      <c r="G102" s="299"/>
      <c r="H102" s="93" t="s">
        <v>220</v>
      </c>
    </row>
    <row r="103" spans="2:8" ht="18" customHeight="1">
      <c r="B103" s="328"/>
      <c r="C103" s="317"/>
      <c r="D103" s="305" t="s">
        <v>224</v>
      </c>
      <c r="E103" s="307">
        <v>893.5</v>
      </c>
      <c r="F103" s="92">
        <v>6.2</v>
      </c>
      <c r="G103" s="299">
        <v>14</v>
      </c>
      <c r="H103" s="93" t="s">
        <v>229</v>
      </c>
    </row>
    <row r="104" spans="2:8" ht="18" customHeight="1" thickBot="1">
      <c r="B104" s="328"/>
      <c r="C104" s="318"/>
      <c r="D104" s="306"/>
      <c r="E104" s="308"/>
      <c r="F104" s="94">
        <v>37</v>
      </c>
      <c r="G104" s="303"/>
      <c r="H104" s="95" t="s">
        <v>230</v>
      </c>
    </row>
    <row r="105" spans="2:8" ht="18" customHeight="1">
      <c r="B105" s="328"/>
      <c r="C105" s="317" t="s">
        <v>231</v>
      </c>
      <c r="D105" s="282" t="s">
        <v>232</v>
      </c>
      <c r="E105" s="336">
        <v>521.20000000000005</v>
      </c>
      <c r="F105" s="96">
        <v>3.7</v>
      </c>
      <c r="G105" s="279">
        <v>5</v>
      </c>
      <c r="H105" s="90" t="s">
        <v>219</v>
      </c>
    </row>
    <row r="106" spans="2:8" ht="18" customHeight="1">
      <c r="B106" s="328"/>
      <c r="C106" s="317"/>
      <c r="D106" s="319"/>
      <c r="E106" s="321"/>
      <c r="F106" s="96">
        <v>18.5</v>
      </c>
      <c r="G106" s="323"/>
      <c r="H106" s="93" t="s">
        <v>220</v>
      </c>
    </row>
    <row r="107" spans="2:8" ht="18" customHeight="1">
      <c r="B107" s="328"/>
      <c r="C107" s="317"/>
      <c r="D107" s="324" t="s">
        <v>233</v>
      </c>
      <c r="E107" s="325">
        <v>2042.33</v>
      </c>
      <c r="F107" s="96">
        <v>6.2</v>
      </c>
      <c r="G107" s="300">
        <v>43</v>
      </c>
      <c r="H107" s="93" t="s">
        <v>229</v>
      </c>
    </row>
    <row r="108" spans="2:8" ht="18" customHeight="1">
      <c r="B108" s="328"/>
      <c r="C108" s="317"/>
      <c r="D108" s="319"/>
      <c r="E108" s="321"/>
      <c r="F108" s="92">
        <v>37</v>
      </c>
      <c r="G108" s="323"/>
      <c r="H108" s="93" t="s">
        <v>230</v>
      </c>
    </row>
    <row r="109" spans="2:8" ht="18" customHeight="1">
      <c r="B109" s="328"/>
      <c r="C109" s="317"/>
      <c r="D109" s="324" t="s">
        <v>234</v>
      </c>
      <c r="E109" s="337">
        <v>0</v>
      </c>
      <c r="F109" s="96">
        <v>3.7</v>
      </c>
      <c r="G109" s="300">
        <v>6</v>
      </c>
      <c r="H109" s="93" t="s">
        <v>219</v>
      </c>
    </row>
    <row r="110" spans="2:8" ht="18" customHeight="1" thickBot="1">
      <c r="B110" s="328"/>
      <c r="C110" s="318"/>
      <c r="D110" s="283"/>
      <c r="E110" s="338"/>
      <c r="F110" s="97">
        <v>18.5</v>
      </c>
      <c r="G110" s="280"/>
      <c r="H110" s="95" t="s">
        <v>220</v>
      </c>
    </row>
    <row r="111" spans="2:8" ht="18" customHeight="1">
      <c r="B111" s="56" t="s">
        <v>50</v>
      </c>
      <c r="C111" s="98"/>
      <c r="D111" s="98"/>
      <c r="E111" s="99">
        <f>SUM(E87:E110)</f>
        <v>4924.6499999999996</v>
      </c>
      <c r="F111" s="110">
        <f>SUM(F87:F110)</f>
        <v>331.79999999999995</v>
      </c>
      <c r="G111" s="100">
        <f>SUM(G87:G110)</f>
        <v>102</v>
      </c>
      <c r="H111" s="101"/>
    </row>
    <row r="112" spans="2:8" ht="31.5" customHeight="1">
      <c r="B112" s="309" t="s">
        <v>54</v>
      </c>
      <c r="C112" s="309"/>
      <c r="D112" s="309"/>
      <c r="E112" s="309"/>
      <c r="F112" s="309"/>
      <c r="G112" s="309"/>
      <c r="H112" s="310"/>
    </row>
    <row r="113" spans="1:8" ht="65.25" customHeight="1">
      <c r="A113" s="22"/>
      <c r="B113" s="11" t="s">
        <v>3</v>
      </c>
      <c r="C113" s="11"/>
      <c r="D113" s="23" t="s">
        <v>4</v>
      </c>
      <c r="E113" s="23" t="s">
        <v>5</v>
      </c>
      <c r="F113" s="23" t="s">
        <v>56</v>
      </c>
      <c r="G113" s="23" t="s">
        <v>7</v>
      </c>
      <c r="H113" s="23" t="s">
        <v>8</v>
      </c>
    </row>
    <row r="114" spans="1:8" ht="53.25" customHeight="1">
      <c r="A114" s="22"/>
      <c r="B114" s="311" t="s">
        <v>58</v>
      </c>
      <c r="C114" s="102"/>
      <c r="D114" s="8" t="s">
        <v>235</v>
      </c>
      <c r="E114" s="45">
        <v>63362.71</v>
      </c>
      <c r="F114" s="45">
        <v>51716.5</v>
      </c>
      <c r="G114" s="46">
        <v>1</v>
      </c>
      <c r="H114" s="26" t="s">
        <v>236</v>
      </c>
    </row>
    <row r="115" spans="1:8" ht="53.25" customHeight="1">
      <c r="A115" s="22"/>
      <c r="B115" s="312"/>
      <c r="C115" s="103"/>
      <c r="D115" s="8" t="s">
        <v>237</v>
      </c>
      <c r="E115" s="45">
        <v>6737.94</v>
      </c>
      <c r="F115" s="45">
        <v>5050</v>
      </c>
      <c r="G115" s="46">
        <v>1</v>
      </c>
      <c r="H115" s="26" t="s">
        <v>238</v>
      </c>
    </row>
    <row r="116" spans="1:8" ht="33" customHeight="1">
      <c r="B116" s="313"/>
      <c r="C116" s="104"/>
      <c r="D116" s="8" t="s">
        <v>239</v>
      </c>
      <c r="E116" s="45">
        <v>32341.73</v>
      </c>
      <c r="F116" s="45">
        <v>14146.22</v>
      </c>
      <c r="G116" s="46">
        <v>1</v>
      </c>
      <c r="H116" s="8" t="s">
        <v>238</v>
      </c>
    </row>
    <row r="117" spans="1:8" ht="24.75" customHeight="1">
      <c r="B117" s="61" t="s">
        <v>50</v>
      </c>
      <c r="C117" s="61"/>
      <c r="D117" s="50"/>
      <c r="E117" s="50">
        <f>SUM(E114:E116)</f>
        <v>102442.37999999999</v>
      </c>
      <c r="F117" s="50">
        <f>SUM(F114:F116)</f>
        <v>70912.72</v>
      </c>
      <c r="G117" s="105">
        <f>SUM(G114:G116)</f>
        <v>3</v>
      </c>
      <c r="H117" s="18"/>
    </row>
    <row r="118" spans="1:8" ht="28.5" customHeight="1">
      <c r="B118" s="56" t="s">
        <v>59</v>
      </c>
      <c r="C118" s="56"/>
      <c r="D118" s="45"/>
      <c r="E118" s="45"/>
      <c r="F118" s="45"/>
      <c r="G118" s="106"/>
      <c r="H118" s="18"/>
    </row>
    <row r="119" spans="1:8" ht="29.25" customHeight="1">
      <c r="B119" s="61" t="s">
        <v>50</v>
      </c>
      <c r="C119" s="61"/>
      <c r="D119" s="50"/>
      <c r="E119" s="50"/>
      <c r="F119" s="50"/>
      <c r="G119" s="105"/>
      <c r="H119" s="18"/>
    </row>
    <row r="120" spans="1:8" ht="45">
      <c r="B120" s="56" t="s">
        <v>61</v>
      </c>
      <c r="C120" s="56"/>
      <c r="D120" s="8" t="s">
        <v>240</v>
      </c>
      <c r="E120" s="45">
        <v>1917.26</v>
      </c>
      <c r="F120" s="45">
        <v>1701.7</v>
      </c>
      <c r="G120" s="46">
        <v>1</v>
      </c>
      <c r="H120" s="18" t="s">
        <v>241</v>
      </c>
    </row>
    <row r="121" spans="1:8" ht="27" customHeight="1">
      <c r="B121" s="61" t="s">
        <v>50</v>
      </c>
      <c r="C121" s="61"/>
      <c r="D121" s="50"/>
      <c r="E121" s="50">
        <v>1917.26</v>
      </c>
      <c r="F121" s="50">
        <f>SUM(F120)</f>
        <v>1701.7</v>
      </c>
      <c r="G121" s="105">
        <f>SUM(G120)</f>
        <v>1</v>
      </c>
      <c r="H121" s="18"/>
    </row>
    <row r="122" spans="1:8" ht="27" customHeight="1">
      <c r="B122" s="56" t="s">
        <v>62</v>
      </c>
      <c r="C122" s="56"/>
      <c r="D122" s="107"/>
      <c r="E122" s="107"/>
      <c r="F122" s="107"/>
      <c r="G122" s="108"/>
      <c r="H122" s="18"/>
    </row>
    <row r="123" spans="1:8" ht="16.5" customHeight="1">
      <c r="B123" s="61" t="s">
        <v>50</v>
      </c>
      <c r="C123" s="61"/>
      <c r="D123" s="50"/>
      <c r="E123" s="50"/>
      <c r="F123" s="50"/>
      <c r="G123" s="105"/>
      <c r="H123" s="18"/>
    </row>
    <row r="124" spans="1:8" ht="30.75" customHeight="1">
      <c r="B124" s="56" t="s">
        <v>69</v>
      </c>
      <c r="C124" s="56"/>
      <c r="D124" s="60"/>
      <c r="E124" s="45"/>
      <c r="F124" s="45"/>
      <c r="G124" s="106"/>
      <c r="H124" s="18"/>
    </row>
    <row r="125" spans="1:8" ht="15.75">
      <c r="B125" s="61" t="s">
        <v>50</v>
      </c>
      <c r="C125" s="61"/>
      <c r="D125" s="50"/>
      <c r="E125" s="50"/>
      <c r="F125" s="50"/>
      <c r="G125" s="105"/>
      <c r="H125" s="18"/>
    </row>
    <row r="126" spans="1:8" ht="17.25" customHeight="1">
      <c r="B126" s="314"/>
      <c r="C126" s="314"/>
      <c r="D126" s="314"/>
      <c r="E126" s="314"/>
      <c r="F126" s="314"/>
      <c r="G126" s="314"/>
      <c r="H126" s="314"/>
    </row>
    <row r="127" spans="1:8" ht="47.45" customHeight="1">
      <c r="B127" s="61" t="s">
        <v>121</v>
      </c>
      <c r="C127" s="61"/>
      <c r="D127" s="59"/>
      <c r="E127" s="59">
        <f>SUM(E86+E111+E117+E119+E121+E123+E125)</f>
        <v>123743.48999999998</v>
      </c>
      <c r="F127" s="59">
        <f>SUM(F86+F111+F117+F119+F121+F123+F125)</f>
        <v>73476.81</v>
      </c>
      <c r="G127" s="62">
        <f>SUM(G86+G111+G117+G119+G121+G123+G125)</f>
        <v>149</v>
      </c>
      <c r="H127" s="18"/>
    </row>
    <row r="128" spans="1:8">
      <c r="B128" s="63"/>
      <c r="C128" s="63"/>
      <c r="D128" s="64"/>
      <c r="E128" s="64"/>
      <c r="F128" s="64"/>
      <c r="G128" s="64"/>
    </row>
    <row r="129" spans="2:7">
      <c r="B129" s="63"/>
      <c r="C129" s="63"/>
      <c r="D129" s="64"/>
      <c r="E129" s="64"/>
      <c r="F129" s="64"/>
      <c r="G129" s="64"/>
    </row>
    <row r="130" spans="2:7">
      <c r="B130" s="65" t="s">
        <v>246</v>
      </c>
      <c r="C130" s="65"/>
    </row>
    <row r="131" spans="2:7">
      <c r="B131" s="65"/>
      <c r="C131" s="65"/>
    </row>
    <row r="132" spans="2:7">
      <c r="B132" s="40" t="s">
        <v>242</v>
      </c>
      <c r="C132" s="40"/>
    </row>
    <row r="133" spans="2:7">
      <c r="B133" s="40" t="s">
        <v>243</v>
      </c>
      <c r="C133" s="40"/>
    </row>
    <row r="134" spans="2:7">
      <c r="B134" s="40"/>
      <c r="C134" s="40"/>
    </row>
    <row r="135" spans="2:7">
      <c r="B135" t="s">
        <v>244</v>
      </c>
    </row>
    <row r="136" spans="2:7">
      <c r="B136" s="315"/>
      <c r="C136" s="315"/>
      <c r="D136" s="315"/>
      <c r="E136" s="315"/>
    </row>
    <row r="137" spans="2:7">
      <c r="B137" t="s">
        <v>130</v>
      </c>
    </row>
    <row r="138" spans="2:7" ht="15.75" customHeight="1"/>
  </sheetData>
  <mergeCells count="168">
    <mergeCell ref="H62:H65"/>
    <mergeCell ref="H66:H69"/>
    <mergeCell ref="H82:H85"/>
    <mergeCell ref="H78:H81"/>
    <mergeCell ref="H74:H77"/>
    <mergeCell ref="G103:G104"/>
    <mergeCell ref="C105:C110"/>
    <mergeCell ref="D105:D106"/>
    <mergeCell ref="E105:E106"/>
    <mergeCell ref="G105:G106"/>
    <mergeCell ref="D107:D108"/>
    <mergeCell ref="E107:E108"/>
    <mergeCell ref="G107:G108"/>
    <mergeCell ref="D109:D110"/>
    <mergeCell ref="E109:E110"/>
    <mergeCell ref="G97:G98"/>
    <mergeCell ref="C99:C104"/>
    <mergeCell ref="D99:D100"/>
    <mergeCell ref="D93:D94"/>
    <mergeCell ref="E93:E94"/>
    <mergeCell ref="G93:G94"/>
    <mergeCell ref="H70:H73"/>
    <mergeCell ref="G109:G110"/>
    <mergeCell ref="G101:G102"/>
    <mergeCell ref="B112:H112"/>
    <mergeCell ref="B114:B116"/>
    <mergeCell ref="B126:H126"/>
    <mergeCell ref="B136:E136"/>
    <mergeCell ref="C95:C98"/>
    <mergeCell ref="D95:D96"/>
    <mergeCell ref="E95:E96"/>
    <mergeCell ref="G95:G96"/>
    <mergeCell ref="D97:D98"/>
    <mergeCell ref="E97:E98"/>
    <mergeCell ref="B87:B110"/>
    <mergeCell ref="C87:C94"/>
    <mergeCell ref="D87:D88"/>
    <mergeCell ref="E87:E88"/>
    <mergeCell ref="G87:G88"/>
    <mergeCell ref="D89:D90"/>
    <mergeCell ref="E89:E90"/>
    <mergeCell ref="G89:G90"/>
    <mergeCell ref="D91:D92"/>
    <mergeCell ref="E91:E92"/>
    <mergeCell ref="E99:E100"/>
    <mergeCell ref="G99:G100"/>
    <mergeCell ref="D101:D102"/>
    <mergeCell ref="E101:E102"/>
    <mergeCell ref="D103:D104"/>
    <mergeCell ref="E103:E104"/>
    <mergeCell ref="G91:G92"/>
    <mergeCell ref="C82:D82"/>
    <mergeCell ref="E82:E85"/>
    <mergeCell ref="G82:G85"/>
    <mergeCell ref="C83:D83"/>
    <mergeCell ref="C84:D84"/>
    <mergeCell ref="C85:D85"/>
    <mergeCell ref="C78:D78"/>
    <mergeCell ref="E78:E81"/>
    <mergeCell ref="G78:G81"/>
    <mergeCell ref="C79:D79"/>
    <mergeCell ref="C80:D80"/>
    <mergeCell ref="C81:D81"/>
    <mergeCell ref="C74:D74"/>
    <mergeCell ref="E74:E77"/>
    <mergeCell ref="G74:G77"/>
    <mergeCell ref="C75:D75"/>
    <mergeCell ref="C76:D76"/>
    <mergeCell ref="C77:D77"/>
    <mergeCell ref="C70:D70"/>
    <mergeCell ref="E70:E73"/>
    <mergeCell ref="G70:G73"/>
    <mergeCell ref="C71:D71"/>
    <mergeCell ref="C72:D72"/>
    <mergeCell ref="C73:D73"/>
    <mergeCell ref="C66:D66"/>
    <mergeCell ref="E66:E69"/>
    <mergeCell ref="G66:G69"/>
    <mergeCell ref="C67:D67"/>
    <mergeCell ref="C68:D68"/>
    <mergeCell ref="C69:D69"/>
    <mergeCell ref="C62:D62"/>
    <mergeCell ref="E62:E65"/>
    <mergeCell ref="G62:G65"/>
    <mergeCell ref="C63:D63"/>
    <mergeCell ref="C64:D64"/>
    <mergeCell ref="C65:D65"/>
    <mergeCell ref="C58:D58"/>
    <mergeCell ref="E58:E61"/>
    <mergeCell ref="G58:G61"/>
    <mergeCell ref="C59:D59"/>
    <mergeCell ref="C60:D60"/>
    <mergeCell ref="C61:D61"/>
    <mergeCell ref="C54:D54"/>
    <mergeCell ref="E54:E57"/>
    <mergeCell ref="G54:G57"/>
    <mergeCell ref="C55:D55"/>
    <mergeCell ref="C56:D56"/>
    <mergeCell ref="C57:D57"/>
    <mergeCell ref="C50:D50"/>
    <mergeCell ref="E50:E53"/>
    <mergeCell ref="G50:G53"/>
    <mergeCell ref="C51:D51"/>
    <mergeCell ref="C52:D52"/>
    <mergeCell ref="C53:D53"/>
    <mergeCell ref="G26:G31"/>
    <mergeCell ref="C27:D27"/>
    <mergeCell ref="C28:D28"/>
    <mergeCell ref="C46:D46"/>
    <mergeCell ref="E46:E49"/>
    <mergeCell ref="G46:G49"/>
    <mergeCell ref="C47:D47"/>
    <mergeCell ref="C48:D48"/>
    <mergeCell ref="C49:D49"/>
    <mergeCell ref="C42:D42"/>
    <mergeCell ref="E42:E45"/>
    <mergeCell ref="G42:G45"/>
    <mergeCell ref="C43:D43"/>
    <mergeCell ref="C44:D44"/>
    <mergeCell ref="C45:D45"/>
    <mergeCell ref="C17:D17"/>
    <mergeCell ref="C18:D18"/>
    <mergeCell ref="C19:D19"/>
    <mergeCell ref="C38:D38"/>
    <mergeCell ref="E38:E41"/>
    <mergeCell ref="G38:G41"/>
    <mergeCell ref="C39:D39"/>
    <mergeCell ref="C40:D40"/>
    <mergeCell ref="C41:D41"/>
    <mergeCell ref="C21:D21"/>
    <mergeCell ref="C22:D22"/>
    <mergeCell ref="C23:D23"/>
    <mergeCell ref="C24:D24"/>
    <mergeCell ref="C25:D25"/>
    <mergeCell ref="C32:D32"/>
    <mergeCell ref="E32:E37"/>
    <mergeCell ref="G32:G37"/>
    <mergeCell ref="C33:D33"/>
    <mergeCell ref="C34:D34"/>
    <mergeCell ref="C35:D35"/>
    <mergeCell ref="C36:D36"/>
    <mergeCell ref="C37:D37"/>
    <mergeCell ref="C26:D26"/>
    <mergeCell ref="E26:E31"/>
    <mergeCell ref="C20:D20"/>
    <mergeCell ref="E20:E25"/>
    <mergeCell ref="G20:G25"/>
    <mergeCell ref="C29:D29"/>
    <mergeCell ref="C30:D30"/>
    <mergeCell ref="C31:D31"/>
    <mergeCell ref="B4:H4"/>
    <mergeCell ref="B5:H5"/>
    <mergeCell ref="B6:H6"/>
    <mergeCell ref="C7:D7"/>
    <mergeCell ref="B8:B85"/>
    <mergeCell ref="C8:D8"/>
    <mergeCell ref="E8:E13"/>
    <mergeCell ref="G8:G13"/>
    <mergeCell ref="C9:D9"/>
    <mergeCell ref="C10:D10"/>
    <mergeCell ref="C11:D11"/>
    <mergeCell ref="C12:D12"/>
    <mergeCell ref="C13:D13"/>
    <mergeCell ref="C14:D14"/>
    <mergeCell ref="E14:E19"/>
    <mergeCell ref="G14:G19"/>
    <mergeCell ref="C15:D15"/>
    <mergeCell ref="C16:D16"/>
  </mergeCells>
  <pageMargins left="0.7" right="0.7" top="0.75" bottom="0.75" header="0.3" footer="0.3"/>
  <pageSetup paperSize="9" orientation="portrait" r:id="rId1"/>
  <ignoredErrors>
    <ignoredError sqref="F86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"/>
  <sheetViews>
    <sheetView tabSelected="1" workbookViewId="0">
      <selection activeCell="D8" sqref="D8"/>
    </sheetView>
  </sheetViews>
  <sheetFormatPr defaultColWidth="9.140625" defaultRowHeight="15"/>
  <cols>
    <col min="1" max="1" width="55" customWidth="1"/>
    <col min="2" max="2" width="30.140625" customWidth="1"/>
    <col min="3" max="3" width="29.28515625" customWidth="1"/>
    <col min="4" max="4" width="45.28515625" customWidth="1"/>
    <col min="6" max="6" width="57.28515625" customWidth="1"/>
  </cols>
  <sheetData>
    <row r="3" spans="1:6" ht="31.5">
      <c r="B3" s="111" t="s">
        <v>249</v>
      </c>
      <c r="C3" s="112" t="s">
        <v>247</v>
      </c>
      <c r="D3" s="112" t="s">
        <v>7</v>
      </c>
    </row>
    <row r="4" spans="1:6" ht="37.5">
      <c r="A4" s="113" t="s">
        <v>248</v>
      </c>
      <c r="B4" s="114">
        <v>614250.68000000005</v>
      </c>
      <c r="C4" s="114">
        <v>325951.34000000003</v>
      </c>
      <c r="D4" s="115">
        <v>2644</v>
      </c>
      <c r="E4" s="116"/>
      <c r="F4" s="117"/>
    </row>
    <row r="5" spans="1:6">
      <c r="D5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opLeftCell="A61" zoomScale="90" zoomScaleNormal="90" workbookViewId="0">
      <selection activeCell="B76" sqref="B76"/>
    </sheetView>
  </sheetViews>
  <sheetFormatPr defaultColWidth="9.140625" defaultRowHeight="15"/>
  <cols>
    <col min="1" max="1" width="3.42578125" customWidth="1"/>
    <col min="2" max="2" width="45.140625" customWidth="1"/>
    <col min="3" max="3" width="45.5703125" customWidth="1"/>
    <col min="4" max="4" width="16.7109375" customWidth="1"/>
    <col min="5" max="5" width="24.85546875" customWidth="1"/>
    <col min="6" max="6" width="15.28515625" customWidth="1"/>
    <col min="7" max="7" width="55.140625" customWidth="1"/>
    <col min="9" max="9" width="12.28515625" customWidth="1"/>
  </cols>
  <sheetData>
    <row r="1" spans="2:9" ht="30" customHeight="1">
      <c r="B1" s="1" t="s">
        <v>0</v>
      </c>
    </row>
    <row r="2" spans="2:9" ht="25.5" customHeight="1">
      <c r="B2" s="1" t="s">
        <v>1</v>
      </c>
      <c r="D2" s="2"/>
      <c r="E2" s="2"/>
    </row>
    <row r="3" spans="2:9" ht="12.75" customHeight="1">
      <c r="B3" s="1"/>
      <c r="D3" s="2"/>
      <c r="E3" s="2"/>
    </row>
    <row r="4" spans="2:9" ht="32.25" customHeight="1">
      <c r="B4" s="342" t="s">
        <v>122</v>
      </c>
      <c r="C4" s="342"/>
      <c r="D4" s="342"/>
      <c r="E4" s="342"/>
      <c r="F4" s="342"/>
      <c r="G4" s="342"/>
    </row>
    <row r="5" spans="2:9" ht="31.5" customHeight="1">
      <c r="B5" s="342" t="s">
        <v>123</v>
      </c>
      <c r="C5" s="342"/>
      <c r="D5" s="342"/>
      <c r="E5" s="342"/>
      <c r="F5" s="342"/>
      <c r="G5" s="342"/>
    </row>
    <row r="6" spans="2:9" ht="26.25" customHeight="1">
      <c r="B6" s="343" t="s">
        <v>2</v>
      </c>
      <c r="C6" s="343"/>
      <c r="D6" s="343"/>
      <c r="E6" s="343"/>
      <c r="F6" s="343"/>
      <c r="G6" s="343"/>
    </row>
    <row r="7" spans="2:9" ht="55.5" customHeight="1">
      <c r="B7" s="3" t="s">
        <v>3</v>
      </c>
      <c r="C7" s="4" t="s">
        <v>4</v>
      </c>
      <c r="D7" s="4" t="s">
        <v>5</v>
      </c>
      <c r="E7" s="5" t="s">
        <v>6</v>
      </c>
      <c r="F7" s="4" t="s">
        <v>7</v>
      </c>
      <c r="G7" s="6" t="s">
        <v>8</v>
      </c>
      <c r="I7" s="7"/>
    </row>
    <row r="8" spans="2:9" ht="15" customHeight="1">
      <c r="B8" s="305" t="s">
        <v>9</v>
      </c>
      <c r="C8" s="8" t="s">
        <v>10</v>
      </c>
      <c r="D8" s="9">
        <v>5145.74</v>
      </c>
      <c r="E8" s="67">
        <v>12.5</v>
      </c>
      <c r="F8" s="10">
        <v>11</v>
      </c>
      <c r="G8" s="11"/>
      <c r="I8" s="7"/>
    </row>
    <row r="9" spans="2:9">
      <c r="B9" s="305"/>
      <c r="C9" s="8" t="s">
        <v>11</v>
      </c>
      <c r="D9" s="9">
        <v>198.45</v>
      </c>
      <c r="E9" s="67">
        <v>12.5</v>
      </c>
      <c r="F9" s="10">
        <v>1</v>
      </c>
      <c r="G9" s="11"/>
    </row>
    <row r="10" spans="2:9">
      <c r="B10" s="305"/>
      <c r="C10" s="8" t="s">
        <v>12</v>
      </c>
      <c r="D10" s="9">
        <v>449.25</v>
      </c>
      <c r="E10" s="67">
        <v>12.5</v>
      </c>
      <c r="F10" s="10">
        <v>5</v>
      </c>
      <c r="G10" s="11"/>
    </row>
    <row r="11" spans="2:9">
      <c r="B11" s="305"/>
      <c r="C11" s="8" t="s">
        <v>13</v>
      </c>
      <c r="D11" s="9">
        <v>237.38</v>
      </c>
      <c r="E11" s="67">
        <v>12.5</v>
      </c>
      <c r="F11" s="10">
        <v>4</v>
      </c>
      <c r="G11" s="12"/>
    </row>
    <row r="12" spans="2:9" ht="30">
      <c r="B12" s="305"/>
      <c r="C12" s="8" t="s">
        <v>15</v>
      </c>
      <c r="D12" s="9">
        <v>7948.73</v>
      </c>
      <c r="E12" s="67">
        <v>12.5</v>
      </c>
      <c r="F12" s="10">
        <v>10</v>
      </c>
      <c r="G12" s="11"/>
    </row>
    <row r="13" spans="2:9" ht="30">
      <c r="B13" s="305"/>
      <c r="C13" s="8" t="s">
        <v>16</v>
      </c>
      <c r="D13" s="9">
        <v>1628.51</v>
      </c>
      <c r="E13" s="67">
        <v>12.5</v>
      </c>
      <c r="F13" s="10">
        <v>3</v>
      </c>
      <c r="G13" s="11"/>
    </row>
    <row r="14" spans="2:9" ht="30">
      <c r="B14" s="305"/>
      <c r="C14" s="8" t="s">
        <v>17</v>
      </c>
      <c r="D14" s="9">
        <v>1112.8699999999999</v>
      </c>
      <c r="E14" s="67">
        <v>9</v>
      </c>
      <c r="F14" s="10">
        <v>3</v>
      </c>
      <c r="G14" s="11"/>
    </row>
    <row r="15" spans="2:9" ht="30">
      <c r="B15" s="305"/>
      <c r="C15" s="8" t="s">
        <v>18</v>
      </c>
      <c r="D15" s="9">
        <v>1066.97</v>
      </c>
      <c r="E15" s="67">
        <v>9</v>
      </c>
      <c r="F15" s="10">
        <v>3</v>
      </c>
      <c r="G15" s="11"/>
    </row>
    <row r="16" spans="2:9">
      <c r="B16" s="305"/>
      <c r="C16" s="8" t="s">
        <v>19</v>
      </c>
      <c r="D16" s="9">
        <v>274.97000000000003</v>
      </c>
      <c r="E16" s="67">
        <v>9</v>
      </c>
      <c r="F16" s="10">
        <v>1</v>
      </c>
      <c r="G16" s="11"/>
    </row>
    <row r="17" spans="2:7">
      <c r="B17" s="305"/>
      <c r="C17" s="8" t="s">
        <v>20</v>
      </c>
      <c r="D17" s="9">
        <v>1846.65</v>
      </c>
      <c r="E17" s="67">
        <v>9</v>
      </c>
      <c r="F17" s="10">
        <v>10</v>
      </c>
      <c r="G17" s="12" t="s">
        <v>14</v>
      </c>
    </row>
    <row r="18" spans="2:7">
      <c r="B18" s="305"/>
      <c r="C18" s="8" t="s">
        <v>21</v>
      </c>
      <c r="D18" s="9">
        <v>6809.97</v>
      </c>
      <c r="E18" s="67">
        <v>9</v>
      </c>
      <c r="F18" s="10">
        <v>4</v>
      </c>
      <c r="G18" s="11"/>
    </row>
    <row r="19" spans="2:7">
      <c r="B19" s="305"/>
      <c r="C19" s="8" t="s">
        <v>22</v>
      </c>
      <c r="D19" s="9">
        <v>4278.37</v>
      </c>
      <c r="E19" s="67">
        <v>12.5</v>
      </c>
      <c r="F19" s="10">
        <v>11</v>
      </c>
      <c r="G19" s="11"/>
    </row>
    <row r="20" spans="2:7">
      <c r="B20" s="305"/>
      <c r="C20" s="8" t="s">
        <v>23</v>
      </c>
      <c r="D20" s="9">
        <v>0</v>
      </c>
      <c r="E20" s="67">
        <v>9</v>
      </c>
      <c r="F20" s="10">
        <v>1</v>
      </c>
      <c r="G20" s="11"/>
    </row>
    <row r="21" spans="2:7">
      <c r="B21" s="305"/>
      <c r="C21" s="8" t="s">
        <v>24</v>
      </c>
      <c r="D21" s="9">
        <v>22.26</v>
      </c>
      <c r="E21" s="67">
        <v>14</v>
      </c>
      <c r="F21" s="10">
        <v>2</v>
      </c>
      <c r="G21" s="11"/>
    </row>
    <row r="22" spans="2:7">
      <c r="B22" s="305"/>
      <c r="C22" s="8" t="s">
        <v>25</v>
      </c>
      <c r="D22" s="9">
        <v>4550.0200000000004</v>
      </c>
      <c r="E22" s="67">
        <v>14</v>
      </c>
      <c r="F22" s="10">
        <v>5</v>
      </c>
      <c r="G22" s="11"/>
    </row>
    <row r="23" spans="2:7">
      <c r="B23" s="305"/>
      <c r="C23" s="8" t="s">
        <v>26</v>
      </c>
      <c r="D23" s="9">
        <v>1209.0999999999999</v>
      </c>
      <c r="E23" s="67">
        <v>12.5</v>
      </c>
      <c r="F23" s="10">
        <v>4</v>
      </c>
      <c r="G23" s="11"/>
    </row>
    <row r="24" spans="2:7">
      <c r="B24" s="305"/>
      <c r="C24" s="8" t="s">
        <v>27</v>
      </c>
      <c r="D24" s="9">
        <v>1470</v>
      </c>
      <c r="E24" s="67">
        <v>12.5</v>
      </c>
      <c r="F24" s="10">
        <v>1</v>
      </c>
      <c r="G24" s="11"/>
    </row>
    <row r="25" spans="2:7">
      <c r="B25" s="305"/>
      <c r="C25" s="8" t="s">
        <v>28</v>
      </c>
      <c r="D25" s="9">
        <v>39.9</v>
      </c>
      <c r="E25" s="67">
        <v>14</v>
      </c>
      <c r="F25" s="10">
        <v>1</v>
      </c>
      <c r="G25" s="11"/>
    </row>
    <row r="26" spans="2:7">
      <c r="B26" s="305"/>
      <c r="C26" s="8" t="s">
        <v>29</v>
      </c>
      <c r="D26" s="9">
        <v>1655.8</v>
      </c>
      <c r="E26" s="67">
        <v>14</v>
      </c>
      <c r="F26" s="10">
        <v>2</v>
      </c>
      <c r="G26" s="11"/>
    </row>
    <row r="27" spans="2:7">
      <c r="B27" s="305"/>
      <c r="C27" s="8" t="s">
        <v>30</v>
      </c>
      <c r="D27" s="9">
        <v>803.25</v>
      </c>
      <c r="E27" s="67">
        <v>12.5</v>
      </c>
      <c r="F27" s="10">
        <v>2</v>
      </c>
      <c r="G27" s="11"/>
    </row>
    <row r="28" spans="2:7">
      <c r="B28" s="305"/>
      <c r="C28" s="8" t="s">
        <v>31</v>
      </c>
      <c r="D28" s="9">
        <v>89.1</v>
      </c>
      <c r="E28" s="67">
        <v>9</v>
      </c>
      <c r="F28" s="10">
        <v>2</v>
      </c>
      <c r="G28" s="11"/>
    </row>
    <row r="29" spans="2:7">
      <c r="B29" s="305"/>
      <c r="C29" s="8" t="s">
        <v>32</v>
      </c>
      <c r="D29" s="9">
        <v>3466.96</v>
      </c>
      <c r="E29" s="67">
        <v>12.5</v>
      </c>
      <c r="F29" s="10">
        <v>9</v>
      </c>
      <c r="G29" s="11"/>
    </row>
    <row r="30" spans="2:7">
      <c r="B30" s="305"/>
      <c r="C30" s="8" t="s">
        <v>33</v>
      </c>
      <c r="D30" s="9">
        <v>5198.6400000000003</v>
      </c>
      <c r="E30" s="67">
        <v>14</v>
      </c>
      <c r="F30" s="10">
        <v>15</v>
      </c>
      <c r="G30" s="11"/>
    </row>
    <row r="31" spans="2:7">
      <c r="B31" s="305"/>
      <c r="C31" s="8" t="s">
        <v>34</v>
      </c>
      <c r="D31" s="9">
        <v>938.94</v>
      </c>
      <c r="E31" s="67">
        <v>12.5</v>
      </c>
      <c r="F31" s="10">
        <v>4</v>
      </c>
      <c r="G31" s="11"/>
    </row>
    <row r="32" spans="2:7">
      <c r="B32" s="305"/>
      <c r="C32" s="8" t="s">
        <v>35</v>
      </c>
      <c r="D32" s="9">
        <v>37.04</v>
      </c>
      <c r="E32" s="67">
        <v>9</v>
      </c>
      <c r="F32" s="10">
        <v>1</v>
      </c>
      <c r="G32" s="11"/>
    </row>
    <row r="33" spans="2:7">
      <c r="B33" s="305"/>
      <c r="C33" s="8" t="s">
        <v>36</v>
      </c>
      <c r="D33" s="9">
        <v>85.05</v>
      </c>
      <c r="E33" s="67">
        <v>9</v>
      </c>
      <c r="F33" s="10">
        <v>1</v>
      </c>
      <c r="G33" s="11"/>
    </row>
    <row r="34" spans="2:7">
      <c r="B34" s="305"/>
      <c r="C34" s="8" t="s">
        <v>37</v>
      </c>
      <c r="D34" s="9">
        <v>1316.73</v>
      </c>
      <c r="E34" s="67">
        <v>12.5</v>
      </c>
      <c r="F34" s="10">
        <v>5</v>
      </c>
      <c r="G34" s="11"/>
    </row>
    <row r="35" spans="2:7">
      <c r="B35" s="305"/>
      <c r="C35" s="8" t="s">
        <v>38</v>
      </c>
      <c r="D35" s="9">
        <v>252.07</v>
      </c>
      <c r="E35" s="67">
        <v>9</v>
      </c>
      <c r="F35" s="10">
        <v>2</v>
      </c>
      <c r="G35" s="11"/>
    </row>
    <row r="36" spans="2:7" ht="30">
      <c r="B36" s="305"/>
      <c r="C36" s="8" t="s">
        <v>39</v>
      </c>
      <c r="D36" s="9">
        <v>2132.87</v>
      </c>
      <c r="E36" s="67">
        <v>12.5</v>
      </c>
      <c r="F36" s="10">
        <v>8</v>
      </c>
      <c r="G36" s="12"/>
    </row>
    <row r="37" spans="2:7" ht="30">
      <c r="B37" s="305"/>
      <c r="C37" s="8" t="s">
        <v>40</v>
      </c>
      <c r="D37" s="9">
        <v>6009.21</v>
      </c>
      <c r="E37" s="67">
        <v>14</v>
      </c>
      <c r="F37" s="10">
        <v>10</v>
      </c>
      <c r="G37" s="12"/>
    </row>
    <row r="38" spans="2:7" ht="30">
      <c r="B38" s="305"/>
      <c r="C38" s="8" t="s">
        <v>41</v>
      </c>
      <c r="D38" s="9">
        <v>8103.51</v>
      </c>
      <c r="E38" s="67">
        <v>14</v>
      </c>
      <c r="F38" s="10">
        <v>15</v>
      </c>
      <c r="G38" s="11"/>
    </row>
    <row r="39" spans="2:7" ht="30">
      <c r="B39" s="305"/>
      <c r="C39" s="8" t="s">
        <v>42</v>
      </c>
      <c r="D39" s="9">
        <v>6026.11</v>
      </c>
      <c r="E39" s="67">
        <v>14</v>
      </c>
      <c r="F39" s="10">
        <v>13</v>
      </c>
      <c r="G39" s="12"/>
    </row>
    <row r="40" spans="2:7" ht="30">
      <c r="B40" s="305"/>
      <c r="C40" s="8" t="s">
        <v>43</v>
      </c>
      <c r="D40" s="9">
        <v>3270.7</v>
      </c>
      <c r="E40" s="67">
        <v>12.5</v>
      </c>
      <c r="F40" s="10">
        <v>5</v>
      </c>
      <c r="G40" s="11"/>
    </row>
    <row r="41" spans="2:7" ht="30">
      <c r="B41" s="305"/>
      <c r="C41" s="8" t="s">
        <v>44</v>
      </c>
      <c r="D41" s="9">
        <v>1297.8</v>
      </c>
      <c r="E41" s="67">
        <v>12.5</v>
      </c>
      <c r="F41" s="10">
        <v>9</v>
      </c>
      <c r="G41" s="12"/>
    </row>
    <row r="42" spans="2:7" ht="30">
      <c r="B42" s="305"/>
      <c r="C42" s="8" t="s">
        <v>45</v>
      </c>
      <c r="D42" s="9">
        <v>439.29</v>
      </c>
      <c r="E42" s="67">
        <v>9</v>
      </c>
      <c r="F42" s="10">
        <v>7</v>
      </c>
      <c r="G42" s="11"/>
    </row>
    <row r="43" spans="2:7">
      <c r="B43" s="305"/>
      <c r="C43" s="8" t="s">
        <v>46</v>
      </c>
      <c r="D43" s="9">
        <v>129.88999999999999</v>
      </c>
      <c r="E43" s="67">
        <v>9</v>
      </c>
      <c r="F43" s="10">
        <v>3</v>
      </c>
      <c r="G43" s="11"/>
    </row>
    <row r="44" spans="2:7" ht="30">
      <c r="B44" s="305"/>
      <c r="C44" s="8" t="s">
        <v>47</v>
      </c>
      <c r="D44" s="9">
        <v>247.03</v>
      </c>
      <c r="E44" s="67">
        <v>9</v>
      </c>
      <c r="F44" s="10">
        <v>4</v>
      </c>
      <c r="G44" s="11"/>
    </row>
    <row r="45" spans="2:7" ht="30">
      <c r="B45" s="305"/>
      <c r="C45" s="8" t="s">
        <v>48</v>
      </c>
      <c r="D45" s="9">
        <v>1484.93</v>
      </c>
      <c r="E45" s="67">
        <v>12.5</v>
      </c>
      <c r="F45" s="10">
        <v>9</v>
      </c>
      <c r="G45" s="11"/>
    </row>
    <row r="46" spans="2:7" ht="30">
      <c r="B46" s="305"/>
      <c r="C46" s="8" t="s">
        <v>49</v>
      </c>
      <c r="D46" s="9">
        <v>824.1</v>
      </c>
      <c r="E46" s="67">
        <v>12.5</v>
      </c>
      <c r="F46" s="10">
        <v>7</v>
      </c>
      <c r="G46" s="11"/>
    </row>
    <row r="47" spans="2:7" ht="25.5" customHeight="1">
      <c r="B47" s="13" t="s">
        <v>50</v>
      </c>
      <c r="C47" s="8"/>
      <c r="D47" s="14">
        <f>SUM(D8:D46)</f>
        <v>82098.16</v>
      </c>
      <c r="E47" s="68">
        <f>SUM(E8:E46)</f>
        <v>454</v>
      </c>
      <c r="F47" s="15">
        <f>SUM(F8:F46)</f>
        <v>213</v>
      </c>
      <c r="G47" s="16"/>
    </row>
    <row r="48" spans="2:7" ht="25.5" customHeight="1">
      <c r="B48" s="305" t="s">
        <v>51</v>
      </c>
      <c r="C48" s="8" t="s">
        <v>52</v>
      </c>
      <c r="D48" s="17">
        <v>74</v>
      </c>
      <c r="E48" s="67">
        <v>9.25</v>
      </c>
      <c r="F48" s="18">
        <v>1</v>
      </c>
      <c r="G48" s="16"/>
    </row>
    <row r="49" spans="1:10" ht="25.5" customHeight="1">
      <c r="B49" s="305"/>
      <c r="C49" s="8" t="s">
        <v>53</v>
      </c>
      <c r="D49" s="17">
        <v>481.3</v>
      </c>
      <c r="E49" s="67">
        <v>9.25</v>
      </c>
      <c r="F49" s="18">
        <v>4</v>
      </c>
      <c r="G49" s="16"/>
      <c r="H49" s="19"/>
      <c r="I49" s="19"/>
      <c r="J49" s="19"/>
    </row>
    <row r="50" spans="1:10" ht="25.5" customHeight="1">
      <c r="B50" s="20" t="s">
        <v>50</v>
      </c>
      <c r="C50" s="20"/>
      <c r="D50" s="14">
        <f>SUM(D48:D49)</f>
        <v>555.29999999999995</v>
      </c>
      <c r="E50" s="68">
        <f>SUM(E48:E49)</f>
        <v>18.5</v>
      </c>
      <c r="F50" s="21">
        <f>SUM(F48:F49)</f>
        <v>5</v>
      </c>
      <c r="G50" s="16"/>
      <c r="H50" s="19"/>
      <c r="I50" s="19"/>
      <c r="J50" s="19"/>
    </row>
    <row r="51" spans="1:10" ht="31.5" customHeight="1">
      <c r="B51" s="344" t="s">
        <v>54</v>
      </c>
      <c r="C51" s="344"/>
      <c r="D51" s="344"/>
      <c r="E51" s="344"/>
      <c r="F51" s="344"/>
      <c r="G51" s="344"/>
    </row>
    <row r="52" spans="1:10" ht="53.25" customHeight="1">
      <c r="A52" s="22"/>
      <c r="B52" s="23" t="s">
        <v>3</v>
      </c>
      <c r="C52" s="23" t="s">
        <v>55</v>
      </c>
      <c r="D52" s="23" t="s">
        <v>5</v>
      </c>
      <c r="E52" s="23" t="s">
        <v>56</v>
      </c>
      <c r="F52" s="23" t="s">
        <v>7</v>
      </c>
      <c r="G52" s="23" t="s">
        <v>57</v>
      </c>
    </row>
    <row r="53" spans="1:10" ht="33" customHeight="1">
      <c r="B53" s="20" t="s">
        <v>58</v>
      </c>
      <c r="C53" s="24"/>
      <c r="D53" s="24"/>
      <c r="E53" s="24"/>
      <c r="F53" s="25"/>
      <c r="G53" s="26"/>
    </row>
    <row r="54" spans="1:10" ht="24.75" customHeight="1">
      <c r="B54" s="27" t="s">
        <v>50</v>
      </c>
      <c r="C54" s="28"/>
      <c r="D54" s="28">
        <v>0</v>
      </c>
      <c r="E54" s="28"/>
      <c r="F54" s="29">
        <v>0</v>
      </c>
      <c r="G54" s="26"/>
    </row>
    <row r="55" spans="1:10" ht="28.5" customHeight="1">
      <c r="B55" s="20" t="s">
        <v>59</v>
      </c>
      <c r="C55" s="24" t="s">
        <v>60</v>
      </c>
      <c r="D55" s="24">
        <v>1643.63</v>
      </c>
      <c r="E55" s="24">
        <v>1593.55</v>
      </c>
      <c r="F55" s="25">
        <v>30</v>
      </c>
      <c r="G55" s="8" t="s">
        <v>124</v>
      </c>
    </row>
    <row r="56" spans="1:10" ht="29.25" customHeight="1">
      <c r="B56" s="20" t="s">
        <v>50</v>
      </c>
      <c r="C56" s="28"/>
      <c r="D56" s="28">
        <f>SUM(D55)</f>
        <v>1643.63</v>
      </c>
      <c r="E56" s="28">
        <f>SUM(E55)</f>
        <v>1593.55</v>
      </c>
      <c r="F56" s="29">
        <f>SUM(F55)</f>
        <v>30</v>
      </c>
      <c r="G56" s="26"/>
      <c r="I56" s="30"/>
    </row>
    <row r="57" spans="1:10" ht="24" customHeight="1">
      <c r="B57" s="20" t="s">
        <v>61</v>
      </c>
      <c r="C57" s="24"/>
      <c r="D57" s="24"/>
      <c r="E57" s="24"/>
      <c r="F57" s="31"/>
      <c r="G57" s="26"/>
    </row>
    <row r="58" spans="1:10" ht="27" customHeight="1">
      <c r="B58" s="27" t="s">
        <v>50</v>
      </c>
      <c r="C58" s="28"/>
      <c r="D58" s="28">
        <v>0</v>
      </c>
      <c r="E58" s="28"/>
      <c r="F58" s="29">
        <f>SUM(F57)</f>
        <v>0</v>
      </c>
      <c r="G58" s="26"/>
    </row>
    <row r="59" spans="1:10" ht="47.25" customHeight="1">
      <c r="B59" s="340" t="s">
        <v>62</v>
      </c>
      <c r="C59" s="32" t="s">
        <v>63</v>
      </c>
      <c r="D59" s="33">
        <v>13146.41</v>
      </c>
      <c r="E59" s="33">
        <v>13146.15</v>
      </c>
      <c r="F59" s="34">
        <v>1</v>
      </c>
      <c r="G59" s="8"/>
      <c r="I59" s="30"/>
    </row>
    <row r="60" spans="1:10" ht="63">
      <c r="B60" s="340"/>
      <c r="C60" s="32" t="s">
        <v>64</v>
      </c>
      <c r="D60" s="33">
        <v>0</v>
      </c>
      <c r="E60" s="33">
        <v>0</v>
      </c>
      <c r="F60" s="34">
        <v>1</v>
      </c>
      <c r="G60" s="26"/>
    </row>
    <row r="61" spans="1:10" ht="30.75" customHeight="1">
      <c r="B61" s="340"/>
      <c r="C61" s="32" t="s">
        <v>65</v>
      </c>
      <c r="D61" s="33">
        <v>8931.4</v>
      </c>
      <c r="E61" s="33">
        <v>5100</v>
      </c>
      <c r="F61" s="34">
        <v>1</v>
      </c>
      <c r="G61" s="35" t="s">
        <v>66</v>
      </c>
    </row>
    <row r="62" spans="1:10" ht="31.5">
      <c r="B62" s="340"/>
      <c r="C62" s="32" t="s">
        <v>67</v>
      </c>
      <c r="D62" s="33">
        <v>9150</v>
      </c>
      <c r="E62" s="33">
        <v>9150</v>
      </c>
      <c r="F62" s="34">
        <v>1</v>
      </c>
      <c r="G62" s="26"/>
    </row>
    <row r="63" spans="1:10" ht="47.25">
      <c r="B63" s="340"/>
      <c r="C63" s="32" t="s">
        <v>68</v>
      </c>
      <c r="D63" s="33">
        <v>0</v>
      </c>
      <c r="E63" s="33">
        <v>0</v>
      </c>
      <c r="F63" s="34">
        <v>1</v>
      </c>
      <c r="G63" s="26"/>
    </row>
    <row r="64" spans="1:10" ht="33" customHeight="1">
      <c r="B64" s="20" t="s">
        <v>50</v>
      </c>
      <c r="C64" s="28"/>
      <c r="D64" s="28">
        <f>SUM(D56:D63)</f>
        <v>32871.440000000002</v>
      </c>
      <c r="E64" s="28">
        <f>SUM(E59:E63)</f>
        <v>27396.15</v>
      </c>
      <c r="F64" s="29">
        <f>SUM(F59:F63)</f>
        <v>5</v>
      </c>
      <c r="G64" s="26"/>
    </row>
    <row r="65" spans="2:7">
      <c r="B65" s="20" t="s">
        <v>69</v>
      </c>
      <c r="C65" s="36"/>
      <c r="D65" s="24"/>
      <c r="E65" s="24"/>
      <c r="F65" s="25"/>
      <c r="G65" s="26"/>
    </row>
    <row r="66" spans="2:7" ht="15.75">
      <c r="B66" s="27" t="s">
        <v>50</v>
      </c>
      <c r="C66" s="28"/>
      <c r="D66" s="28"/>
      <c r="E66" s="28"/>
      <c r="F66" s="29">
        <f>SUM(F59:F63)</f>
        <v>5</v>
      </c>
      <c r="G66" s="26"/>
    </row>
    <row r="67" spans="2:7" ht="15.75">
      <c r="B67" s="341"/>
      <c r="C67" s="341"/>
      <c r="D67" s="341"/>
      <c r="E67" s="341"/>
      <c r="F67" s="341"/>
      <c r="G67" s="341"/>
    </row>
    <row r="68" spans="2:7" ht="30.75">
      <c r="B68" s="27" t="s">
        <v>70</v>
      </c>
      <c r="C68" s="37"/>
      <c r="D68" s="38">
        <f>SUM(D47+D50+D54+D56+D58+D64+D66)</f>
        <v>117168.53000000001</v>
      </c>
      <c r="E68" s="38">
        <f>SUM(E47+E50+E54+E56+E58+E64+E66)</f>
        <v>29462.2</v>
      </c>
      <c r="F68" s="39">
        <f>F66+F64+F58+F56+F54+F50+F47</f>
        <v>258</v>
      </c>
      <c r="G68" s="26"/>
    </row>
    <row r="69" spans="2:7">
      <c r="B69" s="40"/>
    </row>
    <row r="70" spans="2:7">
      <c r="B70" s="40" t="s">
        <v>131</v>
      </c>
    </row>
    <row r="71" spans="2:7">
      <c r="B71" s="40"/>
    </row>
    <row r="72" spans="2:7">
      <c r="B72" s="40" t="s">
        <v>127</v>
      </c>
    </row>
    <row r="73" spans="2:7">
      <c r="B73" s="40" t="s">
        <v>128</v>
      </c>
    </row>
    <row r="74" spans="2:7">
      <c r="B74" t="s">
        <v>129</v>
      </c>
    </row>
    <row r="75" spans="2:7">
      <c r="B75" s="315"/>
      <c r="C75" s="315"/>
      <c r="D75" s="315"/>
    </row>
    <row r="76" spans="2:7">
      <c r="B76" t="s">
        <v>130</v>
      </c>
      <c r="D76" s="30"/>
    </row>
  </sheetData>
  <mergeCells count="9">
    <mergeCell ref="B75:D75"/>
    <mergeCell ref="B59:B63"/>
    <mergeCell ref="B67:G67"/>
    <mergeCell ref="B4:G4"/>
    <mergeCell ref="B5:G5"/>
    <mergeCell ref="B6:G6"/>
    <mergeCell ref="B8:B46"/>
    <mergeCell ref="B48:B49"/>
    <mergeCell ref="B51:G5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opLeftCell="A107" workbookViewId="0">
      <selection activeCell="B121" sqref="B121"/>
    </sheetView>
  </sheetViews>
  <sheetFormatPr defaultColWidth="9.140625" defaultRowHeight="15"/>
  <cols>
    <col min="1" max="1" width="3.42578125" customWidth="1"/>
    <col min="2" max="2" width="45.140625" customWidth="1"/>
    <col min="3" max="3" width="31.140625" style="42" customWidth="1"/>
    <col min="4" max="4" width="16.7109375" customWidth="1"/>
    <col min="5" max="5" width="24.85546875" customWidth="1"/>
    <col min="6" max="6" width="15.28515625" customWidth="1"/>
    <col min="7" max="7" width="34.42578125" customWidth="1"/>
  </cols>
  <sheetData>
    <row r="1" spans="2:7" ht="30" customHeight="1">
      <c r="B1" s="41" t="s">
        <v>0</v>
      </c>
    </row>
    <row r="2" spans="2:7" ht="25.5" customHeight="1">
      <c r="B2" s="41" t="s">
        <v>71</v>
      </c>
      <c r="D2" s="43"/>
      <c r="E2" s="43"/>
    </row>
    <row r="3" spans="2:7" ht="12.75" customHeight="1">
      <c r="B3" s="41"/>
      <c r="D3" s="43"/>
      <c r="E3" s="43"/>
    </row>
    <row r="4" spans="2:7" ht="39.75" customHeight="1">
      <c r="B4" s="348" t="s">
        <v>125</v>
      </c>
      <c r="C4" s="288"/>
      <c r="D4" s="288"/>
      <c r="E4" s="288"/>
      <c r="F4" s="288"/>
      <c r="G4" s="288"/>
    </row>
    <row r="5" spans="2:7" ht="31.5" customHeight="1">
      <c r="B5" s="288" t="s">
        <v>72</v>
      </c>
      <c r="C5" s="288"/>
      <c r="D5" s="288"/>
      <c r="E5" s="288"/>
      <c r="F5" s="288"/>
      <c r="G5" s="288"/>
    </row>
    <row r="6" spans="2:7" ht="26.25" customHeight="1">
      <c r="B6" s="289" t="s">
        <v>2</v>
      </c>
      <c r="C6" s="289"/>
      <c r="D6" s="289"/>
      <c r="E6" s="289"/>
      <c r="F6" s="289"/>
      <c r="G6" s="289"/>
    </row>
    <row r="7" spans="2:7" ht="72" customHeight="1">
      <c r="B7" s="44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</row>
    <row r="8" spans="2:7" ht="50.1" customHeight="1">
      <c r="B8" s="324" t="s">
        <v>73</v>
      </c>
      <c r="C8" s="8" t="s">
        <v>74</v>
      </c>
      <c r="D8" s="45">
        <v>588</v>
      </c>
      <c r="E8" s="45">
        <v>3</v>
      </c>
      <c r="F8" s="46">
        <v>6</v>
      </c>
      <c r="G8" s="47"/>
    </row>
    <row r="9" spans="2:7" ht="50.1" customHeight="1">
      <c r="B9" s="282"/>
      <c r="C9" s="8" t="s">
        <v>74</v>
      </c>
      <c r="D9" s="45">
        <v>207.14</v>
      </c>
      <c r="E9" s="45">
        <v>3.39</v>
      </c>
      <c r="F9" s="46">
        <v>1</v>
      </c>
      <c r="G9" s="47"/>
    </row>
    <row r="10" spans="2:7" ht="50.1" customHeight="1">
      <c r="B10" s="282"/>
      <c r="C10" s="8" t="s">
        <v>75</v>
      </c>
      <c r="D10" s="45">
        <v>46.5</v>
      </c>
      <c r="E10" s="45">
        <v>3</v>
      </c>
      <c r="F10" s="46">
        <v>1</v>
      </c>
      <c r="G10" s="47"/>
    </row>
    <row r="11" spans="2:7" ht="50.1" customHeight="1">
      <c r="B11" s="282"/>
      <c r="C11" s="8" t="s">
        <v>75</v>
      </c>
      <c r="D11" s="45">
        <v>0</v>
      </c>
      <c r="E11" s="45">
        <v>3.39</v>
      </c>
      <c r="F11" s="46">
        <v>0</v>
      </c>
      <c r="G11" s="26" t="s">
        <v>126</v>
      </c>
    </row>
    <row r="12" spans="2:7" ht="50.1" customHeight="1">
      <c r="B12" s="282"/>
      <c r="C12" s="8" t="s">
        <v>76</v>
      </c>
      <c r="D12" s="45">
        <v>1090.1300000000001</v>
      </c>
      <c r="E12" s="45">
        <v>4.75</v>
      </c>
      <c r="F12" s="46">
        <v>2</v>
      </c>
      <c r="G12" s="47"/>
    </row>
    <row r="13" spans="2:7" ht="50.1" customHeight="1">
      <c r="B13" s="282"/>
      <c r="C13" s="8" t="s">
        <v>76</v>
      </c>
      <c r="D13" s="45">
        <v>0</v>
      </c>
      <c r="E13" s="45">
        <v>8.4700000000000006</v>
      </c>
      <c r="F13" s="46">
        <v>0</v>
      </c>
      <c r="G13" s="26" t="s">
        <v>126</v>
      </c>
    </row>
    <row r="14" spans="2:7" ht="50.1" customHeight="1">
      <c r="B14" s="282"/>
      <c r="C14" s="8" t="s">
        <v>77</v>
      </c>
      <c r="D14" s="45">
        <v>1045.5</v>
      </c>
      <c r="E14" s="45">
        <v>4.25</v>
      </c>
      <c r="F14" s="46">
        <v>7</v>
      </c>
      <c r="G14" s="47"/>
    </row>
    <row r="15" spans="2:7" ht="50.1" customHeight="1">
      <c r="B15" s="282"/>
      <c r="C15" s="8" t="s">
        <v>77</v>
      </c>
      <c r="D15" s="45">
        <v>0</v>
      </c>
      <c r="E15" s="45">
        <v>5.93</v>
      </c>
      <c r="F15" s="46">
        <v>0</v>
      </c>
      <c r="G15" s="26" t="s">
        <v>126</v>
      </c>
    </row>
    <row r="16" spans="2:7" ht="50.1" customHeight="1">
      <c r="B16" s="282"/>
      <c r="C16" s="8" t="s">
        <v>78</v>
      </c>
      <c r="D16" s="45">
        <v>72</v>
      </c>
      <c r="E16" s="45">
        <v>3</v>
      </c>
      <c r="F16" s="46">
        <v>1</v>
      </c>
      <c r="G16" s="47"/>
    </row>
    <row r="17" spans="2:7" ht="50.1" customHeight="1">
      <c r="B17" s="282"/>
      <c r="C17" s="8" t="s">
        <v>78</v>
      </c>
      <c r="D17" s="45">
        <v>0</v>
      </c>
      <c r="E17" s="45">
        <v>3.39</v>
      </c>
      <c r="F17" s="46">
        <v>0</v>
      </c>
      <c r="G17" s="26" t="s">
        <v>126</v>
      </c>
    </row>
    <row r="18" spans="2:7" ht="50.1" customHeight="1">
      <c r="B18" s="282"/>
      <c r="C18" s="8" t="s">
        <v>79</v>
      </c>
      <c r="D18" s="45">
        <v>0</v>
      </c>
      <c r="E18" s="45">
        <v>3</v>
      </c>
      <c r="F18" s="46">
        <v>0</v>
      </c>
      <c r="G18" s="26" t="s">
        <v>126</v>
      </c>
    </row>
    <row r="19" spans="2:7" ht="50.1" customHeight="1">
      <c r="B19" s="282"/>
      <c r="C19" s="8" t="s">
        <v>79</v>
      </c>
      <c r="D19" s="45">
        <v>0</v>
      </c>
      <c r="E19" s="45">
        <v>3.39</v>
      </c>
      <c r="F19" s="46">
        <v>0</v>
      </c>
      <c r="G19" s="26" t="s">
        <v>126</v>
      </c>
    </row>
    <row r="20" spans="2:7" ht="50.1" customHeight="1">
      <c r="B20" s="282"/>
      <c r="C20" s="8" t="s">
        <v>80</v>
      </c>
      <c r="D20" s="45">
        <v>1506.82</v>
      </c>
      <c r="E20" s="45">
        <v>4.25</v>
      </c>
      <c r="F20" s="46">
        <v>7</v>
      </c>
      <c r="G20" s="47"/>
    </row>
    <row r="21" spans="2:7" ht="50.1" customHeight="1">
      <c r="B21" s="282"/>
      <c r="C21" s="8" t="s">
        <v>80</v>
      </c>
      <c r="D21" s="45">
        <v>1076.3</v>
      </c>
      <c r="E21" s="45">
        <v>5.93</v>
      </c>
      <c r="F21" s="46">
        <v>2</v>
      </c>
      <c r="G21" s="48"/>
    </row>
    <row r="22" spans="2:7" ht="50.1" customHeight="1">
      <c r="B22" s="282"/>
      <c r="C22" s="8" t="s">
        <v>81</v>
      </c>
      <c r="D22" s="45">
        <v>6688</v>
      </c>
      <c r="E22" s="45">
        <v>4.75</v>
      </c>
      <c r="F22" s="46">
        <v>13</v>
      </c>
      <c r="G22" s="47"/>
    </row>
    <row r="23" spans="2:7" ht="50.1" customHeight="1">
      <c r="B23" s="282"/>
      <c r="C23" s="8" t="s">
        <v>81</v>
      </c>
      <c r="D23" s="45">
        <v>0</v>
      </c>
      <c r="E23" s="45">
        <v>8.4700000000000006</v>
      </c>
      <c r="F23" s="46">
        <v>0</v>
      </c>
      <c r="G23" s="26" t="s">
        <v>126</v>
      </c>
    </row>
    <row r="24" spans="2:7" ht="50.1" customHeight="1">
      <c r="B24" s="282"/>
      <c r="C24" s="8" t="s">
        <v>82</v>
      </c>
      <c r="D24" s="45">
        <v>0</v>
      </c>
      <c r="E24" s="45">
        <v>3</v>
      </c>
      <c r="F24" s="46">
        <v>0</v>
      </c>
      <c r="G24" s="26" t="s">
        <v>126</v>
      </c>
    </row>
    <row r="25" spans="2:7" ht="50.1" customHeight="1">
      <c r="B25" s="282"/>
      <c r="C25" s="8" t="s">
        <v>82</v>
      </c>
      <c r="D25" s="45">
        <v>0</v>
      </c>
      <c r="E25" s="45">
        <v>3.39</v>
      </c>
      <c r="F25" s="46">
        <v>0</v>
      </c>
      <c r="G25" s="26" t="s">
        <v>126</v>
      </c>
    </row>
    <row r="26" spans="2:7" ht="50.1" customHeight="1">
      <c r="B26" s="282"/>
      <c r="C26" s="8" t="s">
        <v>83</v>
      </c>
      <c r="D26" s="45">
        <v>1349.38</v>
      </c>
      <c r="E26" s="45">
        <v>4.25</v>
      </c>
      <c r="F26" s="46">
        <v>6</v>
      </c>
      <c r="G26" s="47"/>
    </row>
    <row r="27" spans="2:7" ht="50.1" customHeight="1">
      <c r="B27" s="282"/>
      <c r="C27" s="8" t="s">
        <v>83</v>
      </c>
      <c r="D27" s="45">
        <v>0</v>
      </c>
      <c r="E27" s="45">
        <v>5.93</v>
      </c>
      <c r="F27" s="46">
        <v>0</v>
      </c>
      <c r="G27" s="26" t="s">
        <v>126</v>
      </c>
    </row>
    <row r="28" spans="2:7" ht="50.1" customHeight="1">
      <c r="B28" s="282"/>
      <c r="C28" s="8" t="s">
        <v>84</v>
      </c>
      <c r="D28" s="45">
        <v>3190.41</v>
      </c>
      <c r="E28" s="45">
        <v>3</v>
      </c>
      <c r="F28" s="46">
        <v>4</v>
      </c>
      <c r="G28" s="47"/>
    </row>
    <row r="29" spans="2:7" ht="50.1" customHeight="1">
      <c r="B29" s="282"/>
      <c r="C29" s="8" t="s">
        <v>84</v>
      </c>
      <c r="D29" s="45">
        <v>0</v>
      </c>
      <c r="E29" s="45">
        <v>3.39</v>
      </c>
      <c r="F29" s="46">
        <v>0</v>
      </c>
      <c r="G29" s="26" t="s">
        <v>126</v>
      </c>
    </row>
    <row r="30" spans="2:7" ht="50.1" customHeight="1">
      <c r="B30" s="282"/>
      <c r="C30" s="8" t="s">
        <v>85</v>
      </c>
      <c r="D30" s="45">
        <v>1150.25</v>
      </c>
      <c r="E30" s="45">
        <v>4.25</v>
      </c>
      <c r="F30" s="46">
        <v>3</v>
      </c>
      <c r="G30" s="47"/>
    </row>
    <row r="31" spans="2:7" ht="50.1" customHeight="1">
      <c r="B31" s="282"/>
      <c r="C31" s="8" t="s">
        <v>85</v>
      </c>
      <c r="D31" s="45">
        <v>0</v>
      </c>
      <c r="E31" s="45">
        <v>5.93</v>
      </c>
      <c r="F31" s="46">
        <v>0</v>
      </c>
      <c r="G31" s="26" t="s">
        <v>126</v>
      </c>
    </row>
    <row r="32" spans="2:7" ht="50.1" customHeight="1">
      <c r="B32" s="282"/>
      <c r="C32" s="8" t="s">
        <v>86</v>
      </c>
      <c r="D32" s="45">
        <v>0</v>
      </c>
      <c r="E32" s="45">
        <v>3</v>
      </c>
      <c r="F32" s="46">
        <v>0</v>
      </c>
      <c r="G32" s="26" t="s">
        <v>126</v>
      </c>
    </row>
    <row r="33" spans="2:7" ht="50.1" customHeight="1">
      <c r="B33" s="282"/>
      <c r="C33" s="8" t="s">
        <v>86</v>
      </c>
      <c r="D33" s="45">
        <v>0</v>
      </c>
      <c r="E33" s="45">
        <v>3.39</v>
      </c>
      <c r="F33" s="46">
        <v>0</v>
      </c>
      <c r="G33" s="26" t="s">
        <v>126</v>
      </c>
    </row>
    <row r="34" spans="2:7" ht="50.1" customHeight="1">
      <c r="B34" s="282"/>
      <c r="C34" s="8" t="s">
        <v>87</v>
      </c>
      <c r="D34" s="45">
        <v>752.79</v>
      </c>
      <c r="E34" s="45">
        <v>4.25</v>
      </c>
      <c r="F34" s="46">
        <v>4</v>
      </c>
      <c r="G34" s="47"/>
    </row>
    <row r="35" spans="2:7" ht="50.1" customHeight="1">
      <c r="B35" s="282"/>
      <c r="C35" s="8" t="s">
        <v>87</v>
      </c>
      <c r="D35" s="45">
        <v>0</v>
      </c>
      <c r="E35" s="45">
        <v>5.93</v>
      </c>
      <c r="F35" s="46">
        <v>0</v>
      </c>
      <c r="G35" s="26" t="s">
        <v>126</v>
      </c>
    </row>
    <row r="36" spans="2:7" ht="50.1" customHeight="1">
      <c r="B36" s="282"/>
      <c r="C36" s="8" t="s">
        <v>88</v>
      </c>
      <c r="D36" s="45">
        <v>284.25</v>
      </c>
      <c r="E36" s="45">
        <v>3</v>
      </c>
      <c r="F36" s="46">
        <v>7</v>
      </c>
      <c r="G36" s="47"/>
    </row>
    <row r="37" spans="2:7" ht="50.1" customHeight="1">
      <c r="B37" s="282"/>
      <c r="C37" s="8" t="s">
        <v>88</v>
      </c>
      <c r="D37" s="45">
        <v>698.34</v>
      </c>
      <c r="E37" s="45">
        <v>3.39</v>
      </c>
      <c r="F37" s="46">
        <v>3</v>
      </c>
      <c r="G37" s="47"/>
    </row>
    <row r="38" spans="2:7" ht="50.1" customHeight="1">
      <c r="B38" s="282"/>
      <c r="C38" s="8" t="s">
        <v>89</v>
      </c>
      <c r="D38" s="45">
        <v>348</v>
      </c>
      <c r="E38" s="45">
        <v>4.25</v>
      </c>
      <c r="F38" s="46">
        <v>4</v>
      </c>
      <c r="G38" s="47"/>
    </row>
    <row r="39" spans="2:7" ht="50.1" customHeight="1">
      <c r="B39" s="282"/>
      <c r="C39" s="8" t="s">
        <v>89</v>
      </c>
      <c r="D39" s="45">
        <v>0</v>
      </c>
      <c r="E39" s="45">
        <v>5.93</v>
      </c>
      <c r="F39" s="46">
        <v>0</v>
      </c>
      <c r="G39" s="26" t="s">
        <v>126</v>
      </c>
    </row>
    <row r="40" spans="2:7" ht="50.1" customHeight="1">
      <c r="B40" s="282"/>
      <c r="C40" s="8" t="s">
        <v>90</v>
      </c>
      <c r="D40" s="45">
        <v>183</v>
      </c>
      <c r="E40" s="45">
        <v>4.25</v>
      </c>
      <c r="F40" s="46">
        <v>2</v>
      </c>
      <c r="G40" s="47"/>
    </row>
    <row r="41" spans="2:7" ht="50.1" customHeight="1">
      <c r="B41" s="282"/>
      <c r="C41" s="8" t="s">
        <v>90</v>
      </c>
      <c r="D41" s="45">
        <v>0</v>
      </c>
      <c r="E41" s="45">
        <v>5.93</v>
      </c>
      <c r="F41" s="46">
        <v>0</v>
      </c>
      <c r="G41" s="26" t="s">
        <v>126</v>
      </c>
    </row>
    <row r="42" spans="2:7" ht="50.1" customHeight="1">
      <c r="B42" s="282"/>
      <c r="C42" s="8" t="s">
        <v>91</v>
      </c>
      <c r="D42" s="45">
        <v>84</v>
      </c>
      <c r="E42" s="45">
        <v>3</v>
      </c>
      <c r="F42" s="46">
        <v>1</v>
      </c>
      <c r="G42" s="47"/>
    </row>
    <row r="43" spans="2:7" ht="50.1" customHeight="1">
      <c r="B43" s="282"/>
      <c r="C43" s="8" t="s">
        <v>91</v>
      </c>
      <c r="D43" s="45">
        <v>0</v>
      </c>
      <c r="E43" s="45">
        <v>3.39</v>
      </c>
      <c r="F43" s="46">
        <v>0</v>
      </c>
      <c r="G43" s="26" t="s">
        <v>126</v>
      </c>
    </row>
    <row r="44" spans="2:7" ht="50.1" customHeight="1">
      <c r="B44" s="282"/>
      <c r="C44" s="8" t="s">
        <v>92</v>
      </c>
      <c r="D44" s="45">
        <v>1098.0899999999999</v>
      </c>
      <c r="E44" s="45">
        <v>4.25</v>
      </c>
      <c r="F44" s="46">
        <v>4</v>
      </c>
      <c r="G44" s="47"/>
    </row>
    <row r="45" spans="2:7" ht="50.1" customHeight="1">
      <c r="B45" s="282"/>
      <c r="C45" s="8" t="s">
        <v>92</v>
      </c>
      <c r="D45" s="45">
        <v>0</v>
      </c>
      <c r="E45" s="45">
        <v>5.93</v>
      </c>
      <c r="F45" s="46">
        <v>0</v>
      </c>
      <c r="G45" s="26" t="s">
        <v>126</v>
      </c>
    </row>
    <row r="46" spans="2:7" ht="50.1" customHeight="1">
      <c r="B46" s="282"/>
      <c r="C46" s="8" t="s">
        <v>93</v>
      </c>
      <c r="D46" s="45">
        <v>78</v>
      </c>
      <c r="E46" s="45">
        <v>3</v>
      </c>
      <c r="F46" s="46">
        <v>1</v>
      </c>
      <c r="G46" s="47"/>
    </row>
    <row r="47" spans="2:7" ht="50.1" customHeight="1">
      <c r="B47" s="282"/>
      <c r="C47" s="8" t="s">
        <v>93</v>
      </c>
      <c r="D47" s="45">
        <v>0</v>
      </c>
      <c r="E47" s="45">
        <v>3.39</v>
      </c>
      <c r="F47" s="46">
        <v>0</v>
      </c>
      <c r="G47" s="26" t="s">
        <v>126</v>
      </c>
    </row>
    <row r="48" spans="2:7" ht="50.1" customHeight="1">
      <c r="B48" s="282"/>
      <c r="C48" s="8" t="s">
        <v>94</v>
      </c>
      <c r="D48" s="45">
        <v>0</v>
      </c>
      <c r="E48" s="45">
        <v>3</v>
      </c>
      <c r="F48" s="46">
        <v>0</v>
      </c>
      <c r="G48" s="26" t="s">
        <v>126</v>
      </c>
    </row>
    <row r="49" spans="2:7" ht="50.1" customHeight="1">
      <c r="B49" s="282"/>
      <c r="C49" s="8" t="s">
        <v>94</v>
      </c>
      <c r="D49" s="45">
        <v>0</v>
      </c>
      <c r="E49" s="45">
        <v>3.39</v>
      </c>
      <c r="F49" s="46">
        <v>0</v>
      </c>
      <c r="G49" s="26" t="s">
        <v>126</v>
      </c>
    </row>
    <row r="50" spans="2:7" ht="50.1" customHeight="1">
      <c r="B50" s="282"/>
      <c r="C50" s="8" t="s">
        <v>95</v>
      </c>
      <c r="D50" s="45">
        <v>1287.28</v>
      </c>
      <c r="E50" s="45">
        <v>4.25</v>
      </c>
      <c r="F50" s="46">
        <v>7</v>
      </c>
      <c r="G50" s="47"/>
    </row>
    <row r="51" spans="2:7" ht="50.1" customHeight="1">
      <c r="B51" s="282"/>
      <c r="C51" s="8" t="s">
        <v>95</v>
      </c>
      <c r="D51" s="45">
        <v>0</v>
      </c>
      <c r="E51" s="45">
        <v>5.93</v>
      </c>
      <c r="F51" s="46">
        <v>0</v>
      </c>
      <c r="G51" s="26" t="s">
        <v>126</v>
      </c>
    </row>
    <row r="52" spans="2:7" ht="50.1" customHeight="1">
      <c r="B52" s="282"/>
      <c r="C52" s="8" t="s">
        <v>96</v>
      </c>
      <c r="D52" s="45">
        <v>0</v>
      </c>
      <c r="E52" s="45">
        <v>3</v>
      </c>
      <c r="F52" s="46">
        <v>0</v>
      </c>
      <c r="G52" s="26" t="s">
        <v>126</v>
      </c>
    </row>
    <row r="53" spans="2:7" ht="50.1" customHeight="1">
      <c r="B53" s="282"/>
      <c r="C53" s="8" t="s">
        <v>96</v>
      </c>
      <c r="D53" s="45">
        <v>330.51</v>
      </c>
      <c r="E53" s="45">
        <v>3.39</v>
      </c>
      <c r="F53" s="46">
        <v>2</v>
      </c>
      <c r="G53" s="47"/>
    </row>
    <row r="54" spans="2:7" ht="50.1" customHeight="1">
      <c r="B54" s="282"/>
      <c r="C54" s="8" t="s">
        <v>97</v>
      </c>
      <c r="D54" s="45">
        <v>1158.1300000000001</v>
      </c>
      <c r="E54" s="45">
        <v>4.25</v>
      </c>
      <c r="F54" s="46">
        <v>2</v>
      </c>
      <c r="G54" s="47"/>
    </row>
    <row r="55" spans="2:7" ht="50.1" customHeight="1">
      <c r="B55" s="282"/>
      <c r="C55" s="8" t="s">
        <v>97</v>
      </c>
      <c r="D55" s="45">
        <v>0</v>
      </c>
      <c r="E55" s="45">
        <v>5.93</v>
      </c>
      <c r="F55" s="46">
        <v>0</v>
      </c>
      <c r="G55" s="26" t="s">
        <v>126</v>
      </c>
    </row>
    <row r="56" spans="2:7" ht="50.1" customHeight="1">
      <c r="B56" s="282"/>
      <c r="C56" s="8" t="s">
        <v>98</v>
      </c>
      <c r="D56" s="45">
        <v>484.68</v>
      </c>
      <c r="E56" s="45">
        <v>3</v>
      </c>
      <c r="F56" s="46">
        <v>7</v>
      </c>
      <c r="G56" s="47"/>
    </row>
    <row r="57" spans="2:7" ht="50.1" customHeight="1">
      <c r="B57" s="282"/>
      <c r="C57" s="8" t="s">
        <v>98</v>
      </c>
      <c r="D57" s="45">
        <v>42</v>
      </c>
      <c r="E57" s="45">
        <v>3.39</v>
      </c>
      <c r="F57" s="46">
        <v>1</v>
      </c>
      <c r="G57" s="48"/>
    </row>
    <row r="58" spans="2:7" ht="50.1" customHeight="1">
      <c r="B58" s="282"/>
      <c r="C58" s="8" t="s">
        <v>99</v>
      </c>
      <c r="D58" s="45">
        <v>370.88</v>
      </c>
      <c r="E58" s="45">
        <v>3</v>
      </c>
      <c r="F58" s="46">
        <v>5</v>
      </c>
      <c r="G58" s="47"/>
    </row>
    <row r="59" spans="2:7" ht="50.1" customHeight="1">
      <c r="B59" s="282"/>
      <c r="C59" s="8" t="s">
        <v>99</v>
      </c>
      <c r="D59" s="45">
        <v>0</v>
      </c>
      <c r="E59" s="45">
        <v>3.39</v>
      </c>
      <c r="F59" s="46">
        <v>0</v>
      </c>
      <c r="G59" s="26" t="s">
        <v>126</v>
      </c>
    </row>
    <row r="60" spans="2:7" ht="50.1" customHeight="1">
      <c r="B60" s="282"/>
      <c r="C60" s="8" t="s">
        <v>100</v>
      </c>
      <c r="D60" s="45">
        <v>234.75</v>
      </c>
      <c r="E60" s="45">
        <v>3</v>
      </c>
      <c r="F60" s="46">
        <v>2</v>
      </c>
      <c r="G60" s="47"/>
    </row>
    <row r="61" spans="2:7" ht="50.1" customHeight="1">
      <c r="B61" s="282"/>
      <c r="C61" s="8" t="s">
        <v>100</v>
      </c>
      <c r="D61" s="45">
        <v>0</v>
      </c>
      <c r="E61" s="45">
        <v>3.39</v>
      </c>
      <c r="F61" s="46">
        <v>0</v>
      </c>
      <c r="G61" s="26" t="s">
        <v>126</v>
      </c>
    </row>
    <row r="62" spans="2:7" ht="50.1" customHeight="1">
      <c r="B62" s="282"/>
      <c r="C62" s="8" t="s">
        <v>101</v>
      </c>
      <c r="D62" s="45">
        <v>0</v>
      </c>
      <c r="E62" s="45">
        <v>3</v>
      </c>
      <c r="F62" s="46">
        <v>0</v>
      </c>
      <c r="G62" s="26" t="s">
        <v>126</v>
      </c>
    </row>
    <row r="63" spans="2:7" ht="50.1" customHeight="1">
      <c r="B63" s="282"/>
      <c r="C63" s="8" t="s">
        <v>101</v>
      </c>
      <c r="D63" s="45">
        <v>0</v>
      </c>
      <c r="E63" s="45">
        <v>3.39</v>
      </c>
      <c r="F63" s="46">
        <v>0</v>
      </c>
      <c r="G63" s="26" t="s">
        <v>126</v>
      </c>
    </row>
    <row r="64" spans="2:7" ht="50.1" customHeight="1">
      <c r="B64" s="282"/>
      <c r="C64" s="8" t="s">
        <v>102</v>
      </c>
      <c r="D64" s="45">
        <v>462.5</v>
      </c>
      <c r="E64" s="45">
        <v>3</v>
      </c>
      <c r="F64" s="46">
        <v>8</v>
      </c>
      <c r="G64" s="47"/>
    </row>
    <row r="65" spans="2:7" ht="50.1" customHeight="1">
      <c r="B65" s="282"/>
      <c r="C65" s="8" t="s">
        <v>102</v>
      </c>
      <c r="D65" s="45">
        <v>0</v>
      </c>
      <c r="E65" s="45">
        <v>3.39</v>
      </c>
      <c r="F65" s="46">
        <v>0</v>
      </c>
      <c r="G65" s="26" t="s">
        <v>126</v>
      </c>
    </row>
    <row r="66" spans="2:7" ht="50.1" customHeight="1">
      <c r="B66" s="282"/>
      <c r="C66" s="8" t="s">
        <v>103</v>
      </c>
      <c r="D66" s="45">
        <v>2505.91</v>
      </c>
      <c r="E66" s="45">
        <v>4.25</v>
      </c>
      <c r="F66" s="46">
        <v>9</v>
      </c>
      <c r="G66" s="47"/>
    </row>
    <row r="67" spans="2:7" ht="50.1" customHeight="1">
      <c r="B67" s="282"/>
      <c r="C67" s="8" t="s">
        <v>103</v>
      </c>
      <c r="D67" s="45">
        <v>177.9</v>
      </c>
      <c r="E67" s="45">
        <v>5.93</v>
      </c>
      <c r="F67" s="46">
        <v>1</v>
      </c>
      <c r="G67" s="48"/>
    </row>
    <row r="68" spans="2:7" ht="50.1" customHeight="1">
      <c r="B68" s="282"/>
      <c r="C68" s="8" t="s">
        <v>104</v>
      </c>
      <c r="D68" s="45">
        <v>63</v>
      </c>
      <c r="E68" s="45">
        <v>3</v>
      </c>
      <c r="F68" s="46">
        <v>1</v>
      </c>
      <c r="G68" s="48"/>
    </row>
    <row r="69" spans="2:7" ht="50.1" customHeight="1">
      <c r="B69" s="282"/>
      <c r="C69" s="8" t="s">
        <v>104</v>
      </c>
      <c r="D69" s="45">
        <v>208.49</v>
      </c>
      <c r="E69" s="45">
        <v>3.39</v>
      </c>
      <c r="F69" s="46">
        <v>1</v>
      </c>
      <c r="G69" s="48"/>
    </row>
    <row r="70" spans="2:7" ht="50.1" customHeight="1">
      <c r="B70" s="282"/>
      <c r="C70" s="8" t="s">
        <v>105</v>
      </c>
      <c r="D70" s="45">
        <v>0</v>
      </c>
      <c r="E70" s="45">
        <v>3</v>
      </c>
      <c r="F70" s="46">
        <v>0</v>
      </c>
      <c r="G70" s="26" t="s">
        <v>126</v>
      </c>
    </row>
    <row r="71" spans="2:7" ht="50.1" customHeight="1">
      <c r="B71" s="282"/>
      <c r="C71" s="8" t="s">
        <v>105</v>
      </c>
      <c r="D71" s="45">
        <v>0</v>
      </c>
      <c r="E71" s="45">
        <v>3.39</v>
      </c>
      <c r="F71" s="46">
        <v>0</v>
      </c>
      <c r="G71" s="26" t="s">
        <v>126</v>
      </c>
    </row>
    <row r="72" spans="2:7" ht="50.1" customHeight="1">
      <c r="B72" s="282"/>
      <c r="C72" s="8" t="s">
        <v>106</v>
      </c>
      <c r="D72" s="45">
        <v>3705.47</v>
      </c>
      <c r="E72" s="45">
        <v>4.25</v>
      </c>
      <c r="F72" s="46">
        <v>9</v>
      </c>
      <c r="G72" s="47"/>
    </row>
    <row r="73" spans="2:7" ht="50.1" customHeight="1">
      <c r="B73" s="282"/>
      <c r="C73" s="8" t="s">
        <v>106</v>
      </c>
      <c r="D73" s="45">
        <v>0</v>
      </c>
      <c r="E73" s="45">
        <v>5.93</v>
      </c>
      <c r="F73" s="46">
        <v>0</v>
      </c>
      <c r="G73" s="26" t="s">
        <v>126</v>
      </c>
    </row>
    <row r="74" spans="2:7" ht="50.1" customHeight="1">
      <c r="B74" s="282"/>
      <c r="C74" s="8" t="s">
        <v>107</v>
      </c>
      <c r="D74" s="45">
        <v>1628.68</v>
      </c>
      <c r="E74" s="45">
        <v>4.25</v>
      </c>
      <c r="F74" s="46">
        <v>10</v>
      </c>
      <c r="G74" s="47"/>
    </row>
    <row r="75" spans="2:7" ht="50.1" customHeight="1">
      <c r="B75" s="282"/>
      <c r="C75" s="8" t="s">
        <v>107</v>
      </c>
      <c r="D75" s="45">
        <v>0</v>
      </c>
      <c r="E75" s="45">
        <v>5.93</v>
      </c>
      <c r="F75" s="46">
        <v>0</v>
      </c>
      <c r="G75" s="26" t="s">
        <v>126</v>
      </c>
    </row>
    <row r="76" spans="2:7" ht="50.1" customHeight="1">
      <c r="B76" s="282"/>
      <c r="C76" s="8" t="s">
        <v>108</v>
      </c>
      <c r="D76" s="45">
        <v>902.08</v>
      </c>
      <c r="E76" s="45">
        <v>4.25</v>
      </c>
      <c r="F76" s="46">
        <v>7</v>
      </c>
      <c r="G76" s="47"/>
    </row>
    <row r="77" spans="2:7" ht="50.1" customHeight="1">
      <c r="B77" s="282"/>
      <c r="C77" s="8" t="s">
        <v>108</v>
      </c>
      <c r="D77" s="45">
        <v>0</v>
      </c>
      <c r="E77" s="45">
        <v>5.93</v>
      </c>
      <c r="F77" s="46">
        <v>0</v>
      </c>
      <c r="G77" s="26" t="s">
        <v>126</v>
      </c>
    </row>
    <row r="78" spans="2:7" ht="50.1" customHeight="1">
      <c r="B78" s="282"/>
      <c r="C78" s="8" t="s">
        <v>109</v>
      </c>
      <c r="D78" s="45">
        <v>3248.06</v>
      </c>
      <c r="E78" s="45">
        <v>4.25</v>
      </c>
      <c r="F78" s="46">
        <v>7</v>
      </c>
      <c r="G78" s="47"/>
    </row>
    <row r="79" spans="2:7" ht="50.1" customHeight="1">
      <c r="B79" s="282"/>
      <c r="C79" s="8" t="s">
        <v>109</v>
      </c>
      <c r="D79" s="45">
        <v>0</v>
      </c>
      <c r="E79" s="45">
        <v>5.93</v>
      </c>
      <c r="F79" s="46">
        <v>0</v>
      </c>
      <c r="G79" s="26" t="s">
        <v>126</v>
      </c>
    </row>
    <row r="80" spans="2:7" ht="50.1" customHeight="1">
      <c r="B80" s="282"/>
      <c r="C80" s="8" t="s">
        <v>110</v>
      </c>
      <c r="D80" s="45">
        <v>405</v>
      </c>
      <c r="E80" s="45">
        <v>3</v>
      </c>
      <c r="F80" s="46">
        <v>4</v>
      </c>
      <c r="G80" s="47"/>
    </row>
    <row r="81" spans="2:10" ht="50.1" customHeight="1">
      <c r="B81" s="282"/>
      <c r="C81" s="8" t="s">
        <v>110</v>
      </c>
      <c r="D81" s="45">
        <v>0</v>
      </c>
      <c r="E81" s="45">
        <v>3.39</v>
      </c>
      <c r="F81" s="46">
        <v>0</v>
      </c>
      <c r="G81" s="26" t="s">
        <v>126</v>
      </c>
    </row>
    <row r="82" spans="2:10" ht="50.1" customHeight="1">
      <c r="B82" s="282"/>
      <c r="C82" s="8" t="s">
        <v>111</v>
      </c>
      <c r="D82" s="45">
        <v>272.25</v>
      </c>
      <c r="E82" s="45">
        <v>3</v>
      </c>
      <c r="F82" s="46">
        <v>6</v>
      </c>
      <c r="G82" s="47"/>
    </row>
    <row r="83" spans="2:10" ht="50.1" customHeight="1">
      <c r="B83" s="282"/>
      <c r="C83" s="8" t="s">
        <v>111</v>
      </c>
      <c r="D83" s="45">
        <v>50.85</v>
      </c>
      <c r="E83" s="45">
        <v>3.39</v>
      </c>
      <c r="F83" s="46">
        <v>1</v>
      </c>
      <c r="G83" s="47"/>
    </row>
    <row r="84" spans="2:10" ht="50.1" customHeight="1">
      <c r="B84" s="282"/>
      <c r="C84" s="8" t="s">
        <v>112</v>
      </c>
      <c r="D84" s="45">
        <v>287.81</v>
      </c>
      <c r="E84" s="45">
        <v>4.25</v>
      </c>
      <c r="F84" s="46">
        <v>7</v>
      </c>
      <c r="G84" s="47"/>
    </row>
    <row r="85" spans="2:10" ht="50.1" customHeight="1">
      <c r="B85" s="282"/>
      <c r="C85" s="8" t="s">
        <v>112</v>
      </c>
      <c r="D85" s="45">
        <v>0</v>
      </c>
      <c r="E85" s="45">
        <v>5.93</v>
      </c>
      <c r="F85" s="46">
        <v>0</v>
      </c>
      <c r="G85" s="26" t="s">
        <v>126</v>
      </c>
    </row>
    <row r="86" spans="2:10" ht="50.1" customHeight="1">
      <c r="B86" s="282"/>
      <c r="C86" s="8" t="s">
        <v>113</v>
      </c>
      <c r="D86" s="45">
        <v>61.63</v>
      </c>
      <c r="E86" s="45">
        <v>4.25</v>
      </c>
      <c r="F86" s="46">
        <v>1</v>
      </c>
      <c r="G86" s="47"/>
    </row>
    <row r="87" spans="2:10" ht="50.1" customHeight="1">
      <c r="B87" s="282"/>
      <c r="C87" s="8" t="s">
        <v>113</v>
      </c>
      <c r="D87" s="45">
        <v>0</v>
      </c>
      <c r="E87" s="45">
        <v>5.93</v>
      </c>
      <c r="F87" s="46">
        <v>0</v>
      </c>
      <c r="G87" s="26" t="s">
        <v>126</v>
      </c>
    </row>
    <row r="88" spans="2:10" ht="50.1" customHeight="1">
      <c r="B88" s="282"/>
      <c r="C88" s="8" t="s">
        <v>114</v>
      </c>
      <c r="D88" s="45">
        <v>114</v>
      </c>
      <c r="E88" s="45">
        <v>4.75</v>
      </c>
      <c r="F88" s="46">
        <v>0</v>
      </c>
      <c r="G88" s="47"/>
    </row>
    <row r="89" spans="2:10" ht="50.1" customHeight="1">
      <c r="B89" s="282"/>
      <c r="C89" s="8" t="s">
        <v>114</v>
      </c>
      <c r="D89" s="45">
        <v>0</v>
      </c>
      <c r="E89" s="45">
        <v>8.4700000000000006</v>
      </c>
      <c r="F89" s="46">
        <v>0</v>
      </c>
      <c r="G89" s="26" t="s">
        <v>126</v>
      </c>
    </row>
    <row r="90" spans="2:10" ht="24.95" customHeight="1">
      <c r="B90" s="49" t="s">
        <v>50</v>
      </c>
      <c r="C90" s="8"/>
      <c r="D90" s="50">
        <f>SUM(D8:D89)</f>
        <v>39538.759999999995</v>
      </c>
      <c r="E90" s="69">
        <f>SUM(E8:E89)</f>
        <v>346.90999999999991</v>
      </c>
      <c r="F90" s="51">
        <f>SUM(F8:F89)</f>
        <v>177</v>
      </c>
      <c r="G90" s="52"/>
    </row>
    <row r="91" spans="2:10" ht="36.950000000000003" customHeight="1">
      <c r="B91" s="345" t="s">
        <v>51</v>
      </c>
      <c r="C91" s="8" t="s">
        <v>115</v>
      </c>
      <c r="D91" s="45">
        <v>10152.98</v>
      </c>
      <c r="E91" s="45">
        <v>4.75</v>
      </c>
      <c r="F91" s="46">
        <v>21</v>
      </c>
      <c r="G91" s="52"/>
    </row>
    <row r="92" spans="2:10" ht="36.950000000000003" customHeight="1">
      <c r="B92" s="346"/>
      <c r="C92" s="8" t="s">
        <v>115</v>
      </c>
      <c r="D92" s="45">
        <v>0</v>
      </c>
      <c r="E92" s="45">
        <v>8.4700000000000006</v>
      </c>
      <c r="F92" s="46">
        <v>0</v>
      </c>
      <c r="G92" s="26" t="s">
        <v>126</v>
      </c>
    </row>
    <row r="93" spans="2:10" ht="36.950000000000003" customHeight="1">
      <c r="B93" s="346"/>
      <c r="C93" s="8" t="s">
        <v>116</v>
      </c>
      <c r="D93" s="45">
        <v>0</v>
      </c>
      <c r="E93" s="45">
        <v>0</v>
      </c>
      <c r="F93" s="46">
        <v>4</v>
      </c>
      <c r="G93" s="53" t="s">
        <v>117</v>
      </c>
    </row>
    <row r="94" spans="2:10" ht="36.950000000000003" customHeight="1">
      <c r="B94" s="346"/>
      <c r="C94" s="8" t="s">
        <v>116</v>
      </c>
      <c r="D94" s="45">
        <v>111</v>
      </c>
      <c r="E94" s="45">
        <v>37</v>
      </c>
      <c r="F94" s="46">
        <v>3</v>
      </c>
      <c r="G94" s="52"/>
    </row>
    <row r="95" spans="2:10" ht="36.950000000000003" customHeight="1">
      <c r="B95" s="347"/>
      <c r="C95" s="8" t="s">
        <v>118</v>
      </c>
      <c r="D95" s="45">
        <v>0</v>
      </c>
      <c r="E95" s="45">
        <v>0</v>
      </c>
      <c r="F95" s="46">
        <v>1</v>
      </c>
      <c r="G95" s="53" t="s">
        <v>117</v>
      </c>
      <c r="H95" s="54"/>
      <c r="I95" s="54"/>
      <c r="J95" s="54"/>
    </row>
    <row r="96" spans="2:10" ht="36.950000000000003" customHeight="1">
      <c r="B96" s="55"/>
      <c r="C96" s="8" t="s">
        <v>118</v>
      </c>
      <c r="D96" s="45">
        <v>1240</v>
      </c>
      <c r="E96" s="45">
        <v>124</v>
      </c>
      <c r="F96" s="46">
        <v>10</v>
      </c>
      <c r="G96" s="52"/>
      <c r="H96" s="54"/>
      <c r="I96" s="54"/>
      <c r="J96" s="54"/>
    </row>
    <row r="97" spans="1:10" ht="24.95" customHeight="1">
      <c r="B97" s="56" t="s">
        <v>50</v>
      </c>
      <c r="C97" s="8"/>
      <c r="D97" s="50">
        <f>SUM(D91:D96)</f>
        <v>11503.98</v>
      </c>
      <c r="E97" s="70">
        <f>SUM(E91:E96)</f>
        <v>174.22</v>
      </c>
      <c r="F97" s="51">
        <f>SUM(F91:F96)</f>
        <v>39</v>
      </c>
      <c r="G97" s="52"/>
      <c r="H97" s="54"/>
      <c r="I97" s="54"/>
      <c r="J97" s="54"/>
    </row>
    <row r="98" spans="1:10" ht="31.5" customHeight="1">
      <c r="B98" s="309" t="s">
        <v>54</v>
      </c>
      <c r="C98" s="309"/>
      <c r="D98" s="309"/>
      <c r="E98" s="309"/>
      <c r="F98" s="309"/>
      <c r="G98" s="310"/>
    </row>
    <row r="99" spans="1:10" ht="69.75" customHeight="1">
      <c r="A99" s="22"/>
      <c r="B99" s="44" t="s">
        <v>3</v>
      </c>
      <c r="C99" s="5" t="s">
        <v>4</v>
      </c>
      <c r="D99" s="5" t="s">
        <v>5</v>
      </c>
      <c r="E99" s="5" t="s">
        <v>56</v>
      </c>
      <c r="F99" s="5" t="s">
        <v>7</v>
      </c>
      <c r="G99" s="5" t="s">
        <v>8</v>
      </c>
    </row>
    <row r="100" spans="1:10" ht="36.950000000000003" customHeight="1">
      <c r="B100" s="56" t="s">
        <v>58</v>
      </c>
      <c r="C100" s="57"/>
      <c r="D100" s="45">
        <v>0</v>
      </c>
      <c r="E100" s="45">
        <v>0</v>
      </c>
      <c r="F100" s="57">
        <v>0</v>
      </c>
      <c r="G100" s="18"/>
    </row>
    <row r="101" spans="1:10" ht="24.95" customHeight="1">
      <c r="B101" s="56" t="s">
        <v>50</v>
      </c>
      <c r="C101" s="50"/>
      <c r="D101" s="50">
        <v>0</v>
      </c>
      <c r="E101" s="50">
        <v>0</v>
      </c>
      <c r="F101" s="58">
        <v>0</v>
      </c>
      <c r="G101" s="18"/>
    </row>
    <row r="102" spans="1:10" ht="36.950000000000003" customHeight="1">
      <c r="B102" s="56" t="s">
        <v>59</v>
      </c>
      <c r="C102" s="45" t="s">
        <v>119</v>
      </c>
      <c r="D102" s="45">
        <v>5647.61</v>
      </c>
      <c r="E102" s="45">
        <v>5647.61</v>
      </c>
      <c r="F102" s="57">
        <v>106</v>
      </c>
      <c r="G102" s="18"/>
    </row>
    <row r="103" spans="1:10" ht="24.95" customHeight="1">
      <c r="B103" s="56" t="s">
        <v>50</v>
      </c>
      <c r="C103" s="50"/>
      <c r="D103" s="50">
        <v>5647.61</v>
      </c>
      <c r="E103" s="50">
        <v>5647.61</v>
      </c>
      <c r="F103" s="58">
        <v>106</v>
      </c>
      <c r="G103" s="18"/>
    </row>
    <row r="104" spans="1:10" ht="36.950000000000003" customHeight="1">
      <c r="B104" s="56" t="s">
        <v>61</v>
      </c>
      <c r="C104" s="8" t="s">
        <v>120</v>
      </c>
      <c r="D104" s="45">
        <v>0</v>
      </c>
      <c r="E104" s="45">
        <v>1160.93</v>
      </c>
      <c r="F104" s="57">
        <v>1</v>
      </c>
      <c r="G104" s="18"/>
    </row>
    <row r="105" spans="1:10" ht="24.95" customHeight="1">
      <c r="B105" s="56" t="s">
        <v>50</v>
      </c>
      <c r="C105" s="50"/>
      <c r="D105" s="50">
        <v>0</v>
      </c>
      <c r="E105" s="50">
        <v>1160.93</v>
      </c>
      <c r="F105" s="58">
        <v>1</v>
      </c>
      <c r="G105" s="18"/>
    </row>
    <row r="106" spans="1:10" ht="36.950000000000003" customHeight="1">
      <c r="B106" s="56" t="s">
        <v>62</v>
      </c>
      <c r="C106" s="59"/>
      <c r="D106" s="45">
        <v>0</v>
      </c>
      <c r="E106" s="45">
        <v>0</v>
      </c>
      <c r="F106" s="57">
        <v>0</v>
      </c>
      <c r="G106" s="18"/>
    </row>
    <row r="107" spans="1:10" ht="24.95" customHeight="1">
      <c r="B107" s="56" t="s">
        <v>50</v>
      </c>
      <c r="C107" s="50"/>
      <c r="D107" s="50">
        <v>0</v>
      </c>
      <c r="E107" s="50">
        <v>0</v>
      </c>
      <c r="F107" s="58">
        <v>0</v>
      </c>
      <c r="G107" s="18"/>
    </row>
    <row r="108" spans="1:10" ht="36.950000000000003" customHeight="1">
      <c r="B108" s="56" t="s">
        <v>69</v>
      </c>
      <c r="C108" s="60"/>
      <c r="D108" s="45">
        <v>0</v>
      </c>
      <c r="E108" s="45">
        <v>0</v>
      </c>
      <c r="F108" s="57">
        <v>0</v>
      </c>
      <c r="G108" s="18"/>
    </row>
    <row r="109" spans="1:10" ht="24.95" customHeight="1">
      <c r="B109" s="56" t="s">
        <v>50</v>
      </c>
      <c r="C109" s="50"/>
      <c r="D109" s="50">
        <v>0</v>
      </c>
      <c r="E109" s="50">
        <v>0</v>
      </c>
      <c r="F109" s="58">
        <v>0</v>
      </c>
      <c r="G109" s="18"/>
    </row>
    <row r="110" spans="1:10" ht="17.25" customHeight="1">
      <c r="B110" s="314"/>
      <c r="C110" s="314"/>
      <c r="D110" s="314"/>
      <c r="E110" s="314"/>
      <c r="F110" s="314"/>
      <c r="G110" s="314"/>
    </row>
    <row r="111" spans="1:10" ht="33" customHeight="1">
      <c r="B111" s="61" t="s">
        <v>121</v>
      </c>
      <c r="C111" s="59"/>
      <c r="D111" s="59">
        <f>SUM(D90+D97+D101+D103+D105+D107+D109)</f>
        <v>56690.349999999991</v>
      </c>
      <c r="E111" s="59">
        <f>SUM(E90+E97+E101+E103+E105+E107+E109)</f>
        <v>7329.67</v>
      </c>
      <c r="F111" s="62">
        <f>SUM(F90+F97+F101+F103+F105+F107+F109)</f>
        <v>323</v>
      </c>
      <c r="G111" s="18"/>
    </row>
    <row r="112" spans="1:10">
      <c r="B112" s="63"/>
      <c r="C112" s="64"/>
      <c r="D112" s="64"/>
      <c r="E112" s="64"/>
      <c r="F112" s="64"/>
    </row>
    <row r="113" spans="2:4">
      <c r="B113" s="315"/>
      <c r="C113" s="315"/>
      <c r="D113" s="315"/>
    </row>
    <row r="114" spans="2:4">
      <c r="B114" s="65" t="s">
        <v>134</v>
      </c>
    </row>
    <row r="115" spans="2:4" ht="15.75" customHeight="1">
      <c r="B115" s="65"/>
    </row>
    <row r="116" spans="2:4">
      <c r="B116" s="66" t="s">
        <v>132</v>
      </c>
      <c r="C116" s="66"/>
    </row>
    <row r="117" spans="2:4">
      <c r="B117" s="66" t="s">
        <v>133</v>
      </c>
    </row>
    <row r="118" spans="2:4">
      <c r="B118" s="40"/>
    </row>
    <row r="119" spans="2:4">
      <c r="B119" t="s">
        <v>129</v>
      </c>
    </row>
    <row r="120" spans="2:4">
      <c r="B120" s="315"/>
      <c r="C120" s="315"/>
      <c r="D120" s="315"/>
    </row>
    <row r="121" spans="2:4">
      <c r="B121" t="s">
        <v>130</v>
      </c>
    </row>
  </sheetData>
  <mergeCells count="9">
    <mergeCell ref="B120:D120"/>
    <mergeCell ref="B8:B89"/>
    <mergeCell ref="B91:B95"/>
    <mergeCell ref="B98:G98"/>
    <mergeCell ref="B4:G4"/>
    <mergeCell ref="B5:G5"/>
    <mergeCell ref="B6:G6"/>
    <mergeCell ref="B110:G110"/>
    <mergeCell ref="B113:D1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opLeftCell="A79" workbookViewId="0">
      <selection activeCell="B95" sqref="B95"/>
    </sheetView>
  </sheetViews>
  <sheetFormatPr defaultColWidth="9.140625" defaultRowHeight="15"/>
  <cols>
    <col min="1" max="1" width="3.42578125" customWidth="1"/>
    <col min="2" max="2" width="45.140625" customWidth="1"/>
    <col min="3" max="3" width="31.140625" customWidth="1"/>
    <col min="4" max="4" width="16.7109375" customWidth="1"/>
    <col min="5" max="5" width="24.85546875" customWidth="1"/>
    <col min="6" max="6" width="15.28515625" customWidth="1"/>
    <col min="7" max="7" width="34.42578125" customWidth="1"/>
  </cols>
  <sheetData>
    <row r="1" spans="2:7" ht="30" customHeight="1">
      <c r="B1" s="41" t="s">
        <v>0</v>
      </c>
    </row>
    <row r="2" spans="2:7" ht="25.5" customHeight="1">
      <c r="B2" s="41" t="s">
        <v>71</v>
      </c>
      <c r="D2" s="43"/>
      <c r="E2" s="43"/>
    </row>
    <row r="3" spans="2:7" ht="12.75" customHeight="1">
      <c r="B3" s="41"/>
      <c r="D3" s="43"/>
      <c r="E3" s="43"/>
    </row>
    <row r="4" spans="2:7" ht="32.25" customHeight="1">
      <c r="B4" s="288" t="s">
        <v>122</v>
      </c>
      <c r="C4" s="288"/>
      <c r="D4" s="288"/>
      <c r="E4" s="288"/>
      <c r="F4" s="288"/>
      <c r="G4" s="288"/>
    </row>
    <row r="5" spans="2:7" ht="31.5" customHeight="1">
      <c r="B5" s="288" t="s">
        <v>305</v>
      </c>
      <c r="C5" s="288"/>
      <c r="D5" s="288"/>
      <c r="E5" s="288"/>
      <c r="F5" s="288"/>
      <c r="G5" s="288"/>
    </row>
    <row r="6" spans="2:7" ht="26.25" customHeight="1">
      <c r="B6" s="289" t="s">
        <v>2</v>
      </c>
      <c r="C6" s="289"/>
      <c r="D6" s="289"/>
      <c r="E6" s="289"/>
      <c r="F6" s="289"/>
      <c r="G6" s="289"/>
    </row>
    <row r="7" spans="2:7" ht="66" customHeight="1">
      <c r="B7" s="47" t="s">
        <v>3</v>
      </c>
      <c r="C7" s="119" t="s">
        <v>4</v>
      </c>
      <c r="D7" s="119" t="s">
        <v>5</v>
      </c>
      <c r="E7" s="119" t="s">
        <v>6</v>
      </c>
      <c r="F7" s="119" t="s">
        <v>7</v>
      </c>
      <c r="G7" s="119" t="s">
        <v>306</v>
      </c>
    </row>
    <row r="8" spans="2:7" ht="36.75" customHeight="1">
      <c r="B8" s="349" t="s">
        <v>9</v>
      </c>
      <c r="C8" s="135" t="s">
        <v>307</v>
      </c>
      <c r="D8" s="136">
        <v>621.64</v>
      </c>
      <c r="E8" s="137">
        <v>2.7</v>
      </c>
      <c r="F8" s="138">
        <v>9</v>
      </c>
      <c r="G8" s="47"/>
    </row>
    <row r="9" spans="2:7" ht="36.75" customHeight="1">
      <c r="B9" s="349"/>
      <c r="C9" s="135" t="s">
        <v>308</v>
      </c>
      <c r="D9" s="136">
        <v>119.93</v>
      </c>
      <c r="E9" s="137">
        <v>2.7</v>
      </c>
      <c r="F9" s="138">
        <v>1</v>
      </c>
      <c r="G9" s="47"/>
    </row>
    <row r="10" spans="2:7" ht="36.75" customHeight="1">
      <c r="B10" s="349"/>
      <c r="C10" s="135" t="s">
        <v>309</v>
      </c>
      <c r="D10" s="136">
        <v>2490.09</v>
      </c>
      <c r="E10" s="137">
        <v>6.81</v>
      </c>
      <c r="F10" s="138">
        <v>9</v>
      </c>
      <c r="G10" s="47"/>
    </row>
    <row r="11" spans="2:7" ht="36.75" customHeight="1">
      <c r="B11" s="349"/>
      <c r="C11" s="135" t="s">
        <v>310</v>
      </c>
      <c r="D11" s="136">
        <v>70.45</v>
      </c>
      <c r="E11" s="137">
        <v>2.7</v>
      </c>
      <c r="F11" s="138">
        <v>1</v>
      </c>
      <c r="G11" s="47"/>
    </row>
    <row r="12" spans="2:7" ht="36.75" customHeight="1">
      <c r="B12" s="349"/>
      <c r="C12" s="135" t="s">
        <v>311</v>
      </c>
      <c r="D12" s="136">
        <v>1397.67</v>
      </c>
      <c r="E12" s="137">
        <v>4.7699999999999996</v>
      </c>
      <c r="F12" s="138">
        <v>12</v>
      </c>
      <c r="G12" s="47"/>
    </row>
    <row r="13" spans="2:7" ht="36.75" customHeight="1">
      <c r="B13" s="349"/>
      <c r="C13" s="135" t="s">
        <v>312</v>
      </c>
      <c r="D13" s="136">
        <v>314.10000000000002</v>
      </c>
      <c r="E13" s="137">
        <v>4.7699999999999996</v>
      </c>
      <c r="F13" s="138">
        <v>4</v>
      </c>
      <c r="G13" s="47"/>
    </row>
    <row r="14" spans="2:7" ht="36.75" customHeight="1">
      <c r="B14" s="349"/>
      <c r="C14" s="135" t="s">
        <v>313</v>
      </c>
      <c r="D14" s="136">
        <v>189.15</v>
      </c>
      <c r="E14" s="137">
        <v>9</v>
      </c>
      <c r="F14" s="138">
        <v>1</v>
      </c>
      <c r="G14" s="47"/>
    </row>
    <row r="15" spans="2:7" ht="36.75" customHeight="1">
      <c r="B15" s="349"/>
      <c r="C15" s="135" t="s">
        <v>313</v>
      </c>
      <c r="D15" s="136">
        <v>448.56</v>
      </c>
      <c r="E15" s="137">
        <v>2.7</v>
      </c>
      <c r="F15" s="138">
        <v>7</v>
      </c>
      <c r="G15" s="47"/>
    </row>
    <row r="16" spans="2:7" ht="36.75" customHeight="1">
      <c r="B16" s="349"/>
      <c r="C16" s="135" t="s">
        <v>314</v>
      </c>
      <c r="D16" s="136">
        <v>542.20000000000005</v>
      </c>
      <c r="E16" s="137">
        <v>2.7</v>
      </c>
      <c r="F16" s="138">
        <v>4</v>
      </c>
      <c r="G16" s="47"/>
    </row>
    <row r="17" spans="2:7" ht="36.75" customHeight="1">
      <c r="B17" s="349"/>
      <c r="C17" s="135" t="s">
        <v>315</v>
      </c>
      <c r="D17" s="136">
        <v>165.27</v>
      </c>
      <c r="E17" s="137">
        <v>4.7699999999999996</v>
      </c>
      <c r="F17" s="138">
        <v>2</v>
      </c>
      <c r="G17" s="47"/>
    </row>
    <row r="18" spans="2:7" ht="36.75" customHeight="1">
      <c r="B18" s="349"/>
      <c r="C18" s="135" t="s">
        <v>316</v>
      </c>
      <c r="D18" s="136">
        <v>390.25</v>
      </c>
      <c r="E18" s="137">
        <v>4.7699999999999996</v>
      </c>
      <c r="F18" s="138">
        <v>2</v>
      </c>
      <c r="G18" s="47"/>
    </row>
    <row r="19" spans="2:7" ht="36.75" customHeight="1">
      <c r="B19" s="349"/>
      <c r="C19" s="135" t="s">
        <v>317</v>
      </c>
      <c r="D19" s="136">
        <v>1804.97</v>
      </c>
      <c r="E19" s="137">
        <v>4.7699999999999996</v>
      </c>
      <c r="F19" s="138">
        <v>2</v>
      </c>
      <c r="G19" s="47"/>
    </row>
    <row r="20" spans="2:7" ht="36.75" customHeight="1">
      <c r="B20" s="349"/>
      <c r="C20" s="135" t="s">
        <v>318</v>
      </c>
      <c r="D20" s="136">
        <v>1736.28</v>
      </c>
      <c r="E20" s="137">
        <v>4.7699999999999996</v>
      </c>
      <c r="F20" s="138">
        <v>2</v>
      </c>
      <c r="G20" s="47"/>
    </row>
    <row r="21" spans="2:7" ht="36.75" customHeight="1">
      <c r="B21" s="349"/>
      <c r="C21" s="135" t="s">
        <v>319</v>
      </c>
      <c r="D21" s="136">
        <v>1234.71</v>
      </c>
      <c r="E21" s="137">
        <v>4.7699999999999996</v>
      </c>
      <c r="F21" s="138">
        <v>2</v>
      </c>
      <c r="G21" s="47"/>
    </row>
    <row r="22" spans="2:7" ht="36.75" customHeight="1">
      <c r="B22" s="349"/>
      <c r="C22" s="135" t="s">
        <v>320</v>
      </c>
      <c r="D22" s="136">
        <v>36.450000000000003</v>
      </c>
      <c r="E22" s="137">
        <v>2.7</v>
      </c>
      <c r="F22" s="138">
        <v>1</v>
      </c>
      <c r="G22" s="47"/>
    </row>
    <row r="23" spans="2:7" ht="36.75" customHeight="1">
      <c r="B23" s="349"/>
      <c r="C23" s="135" t="s">
        <v>321</v>
      </c>
      <c r="D23" s="136">
        <v>451.02</v>
      </c>
      <c r="E23" s="137">
        <v>2.7</v>
      </c>
      <c r="F23" s="138">
        <v>2</v>
      </c>
      <c r="G23" s="47"/>
    </row>
    <row r="24" spans="2:7" ht="36.75" customHeight="1">
      <c r="B24" s="349"/>
      <c r="C24" s="135" t="s">
        <v>322</v>
      </c>
      <c r="D24" s="136">
        <v>1961.42</v>
      </c>
      <c r="E24" s="137">
        <v>2.7</v>
      </c>
      <c r="F24" s="138">
        <v>3</v>
      </c>
      <c r="G24" s="47"/>
    </row>
    <row r="25" spans="2:7" ht="36.75" customHeight="1">
      <c r="B25" s="349"/>
      <c r="C25" s="135" t="s">
        <v>323</v>
      </c>
      <c r="D25" s="136">
        <v>524.48</v>
      </c>
      <c r="E25" s="137">
        <v>2.7</v>
      </c>
      <c r="F25" s="138">
        <v>1</v>
      </c>
      <c r="G25" s="47"/>
    </row>
    <row r="26" spans="2:7" ht="36.75" customHeight="1">
      <c r="B26" s="349"/>
      <c r="C26" s="135" t="s">
        <v>324</v>
      </c>
      <c r="D26" s="136">
        <v>36.450000000000003</v>
      </c>
      <c r="E26" s="137">
        <v>2.7</v>
      </c>
      <c r="F26" s="138">
        <v>1</v>
      </c>
      <c r="G26" s="47"/>
    </row>
    <row r="27" spans="2:7" ht="36.75" customHeight="1">
      <c r="B27" s="349"/>
      <c r="C27" s="135" t="s">
        <v>325</v>
      </c>
      <c r="D27" s="136">
        <v>741.3</v>
      </c>
      <c r="E27" s="137">
        <v>4.7699999999999996</v>
      </c>
      <c r="F27" s="138">
        <v>5</v>
      </c>
      <c r="G27" s="47"/>
    </row>
    <row r="28" spans="2:7" ht="36.75" customHeight="1">
      <c r="B28" s="349"/>
      <c r="C28" s="135" t="s">
        <v>326</v>
      </c>
      <c r="D28" s="136">
        <v>270.51</v>
      </c>
      <c r="E28" s="137">
        <v>2.7</v>
      </c>
      <c r="F28" s="138">
        <v>5</v>
      </c>
      <c r="G28" s="47"/>
    </row>
    <row r="29" spans="2:7" ht="36.75" customHeight="1">
      <c r="B29" s="349"/>
      <c r="C29" s="135" t="s">
        <v>327</v>
      </c>
      <c r="D29" s="136">
        <v>2124.08</v>
      </c>
      <c r="E29" s="137">
        <v>2.7</v>
      </c>
      <c r="F29" s="138">
        <v>7</v>
      </c>
      <c r="G29" s="47"/>
    </row>
    <row r="30" spans="2:7" ht="36.75" customHeight="1">
      <c r="B30" s="349"/>
      <c r="C30" s="135" t="s">
        <v>327</v>
      </c>
      <c r="D30" s="136">
        <v>72.75</v>
      </c>
      <c r="E30" s="137">
        <v>9</v>
      </c>
      <c r="F30" s="138">
        <v>1</v>
      </c>
      <c r="G30" s="47"/>
    </row>
    <row r="31" spans="2:7" ht="36.75" customHeight="1">
      <c r="B31" s="349"/>
      <c r="C31" s="135" t="s">
        <v>328</v>
      </c>
      <c r="D31" s="136">
        <v>570.63</v>
      </c>
      <c r="E31" s="137">
        <v>2.7</v>
      </c>
      <c r="F31" s="138">
        <v>7</v>
      </c>
      <c r="G31" s="47"/>
    </row>
    <row r="32" spans="2:7" ht="36.75" customHeight="1">
      <c r="B32" s="349"/>
      <c r="C32" s="135" t="s">
        <v>329</v>
      </c>
      <c r="D32" s="136">
        <v>166.86</v>
      </c>
      <c r="E32" s="137">
        <v>2.7</v>
      </c>
      <c r="F32" s="138">
        <v>2</v>
      </c>
      <c r="G32" s="47"/>
    </row>
    <row r="33" spans="2:7" ht="36.75" customHeight="1">
      <c r="B33" s="349"/>
      <c r="C33" s="135" t="s">
        <v>330</v>
      </c>
      <c r="D33" s="136">
        <v>140.94</v>
      </c>
      <c r="E33" s="137">
        <v>2.7</v>
      </c>
      <c r="F33" s="138">
        <v>1</v>
      </c>
      <c r="G33" s="47"/>
    </row>
    <row r="34" spans="2:7" ht="36.75" customHeight="1">
      <c r="B34" s="349"/>
      <c r="C34" s="135" t="s">
        <v>331</v>
      </c>
      <c r="D34" s="136">
        <v>75.33</v>
      </c>
      <c r="E34" s="137">
        <v>2.7</v>
      </c>
      <c r="F34" s="138">
        <v>1</v>
      </c>
      <c r="G34" s="47"/>
    </row>
    <row r="35" spans="2:7" ht="36.75" customHeight="1">
      <c r="B35" s="349"/>
      <c r="C35" s="135" t="s">
        <v>331</v>
      </c>
      <c r="D35" s="136">
        <v>81</v>
      </c>
      <c r="E35" s="137">
        <v>9</v>
      </c>
      <c r="F35" s="138">
        <v>1</v>
      </c>
      <c r="G35" s="47"/>
    </row>
    <row r="36" spans="2:7" ht="36.75" customHeight="1">
      <c r="B36" s="349"/>
      <c r="C36" s="135" t="s">
        <v>332</v>
      </c>
      <c r="D36" s="136">
        <v>34.020000000000003</v>
      </c>
      <c r="E36" s="137">
        <v>2.7</v>
      </c>
      <c r="F36" s="138">
        <v>1</v>
      </c>
      <c r="G36" s="47"/>
    </row>
    <row r="37" spans="2:7" ht="36.75" customHeight="1">
      <c r="B37" s="349"/>
      <c r="C37" s="135" t="s">
        <v>333</v>
      </c>
      <c r="D37" s="136">
        <v>1020.66</v>
      </c>
      <c r="E37" s="137">
        <v>4.7699999999999996</v>
      </c>
      <c r="F37" s="138">
        <v>4</v>
      </c>
      <c r="G37" s="47"/>
    </row>
    <row r="38" spans="2:7" ht="36.75" customHeight="1">
      <c r="B38" s="349"/>
      <c r="C38" s="135" t="s">
        <v>334</v>
      </c>
      <c r="D38" s="136">
        <v>42.05</v>
      </c>
      <c r="E38" s="137">
        <v>2.7</v>
      </c>
      <c r="F38" s="138">
        <v>1</v>
      </c>
      <c r="G38" s="47"/>
    </row>
    <row r="39" spans="2:7" ht="36.75" customHeight="1">
      <c r="B39" s="349"/>
      <c r="C39" s="135" t="s">
        <v>335</v>
      </c>
      <c r="D39" s="136">
        <v>24.3</v>
      </c>
      <c r="E39" s="137">
        <v>2.7</v>
      </c>
      <c r="F39" s="138">
        <v>1</v>
      </c>
      <c r="G39" s="47"/>
    </row>
    <row r="40" spans="2:7" ht="36.75" customHeight="1">
      <c r="B40" s="349"/>
      <c r="C40" s="135" t="s">
        <v>336</v>
      </c>
      <c r="D40" s="136">
        <v>83.7</v>
      </c>
      <c r="E40" s="137">
        <v>2.7</v>
      </c>
      <c r="F40" s="138">
        <v>1</v>
      </c>
      <c r="G40" s="47"/>
    </row>
    <row r="41" spans="2:7" ht="36.75" customHeight="1">
      <c r="B41" s="349"/>
      <c r="C41" s="135" t="s">
        <v>337</v>
      </c>
      <c r="D41" s="136">
        <v>547.27</v>
      </c>
      <c r="E41" s="137">
        <v>4.7699999999999996</v>
      </c>
      <c r="F41" s="138">
        <v>1</v>
      </c>
      <c r="G41" s="47"/>
    </row>
    <row r="42" spans="2:7" ht="36.75" customHeight="1">
      <c r="B42" s="349"/>
      <c r="C42" s="135" t="s">
        <v>338</v>
      </c>
      <c r="D42" s="136">
        <v>777.6</v>
      </c>
      <c r="E42" s="137">
        <v>2.7</v>
      </c>
      <c r="F42" s="138">
        <v>2</v>
      </c>
      <c r="G42" s="47"/>
    </row>
    <row r="43" spans="2:7" ht="36.75" customHeight="1">
      <c r="B43" s="349"/>
      <c r="C43" s="135" t="s">
        <v>339</v>
      </c>
      <c r="D43" s="136">
        <v>171.5</v>
      </c>
      <c r="E43" s="137">
        <v>2.7</v>
      </c>
      <c r="F43" s="138">
        <v>1</v>
      </c>
      <c r="G43" s="47"/>
    </row>
    <row r="44" spans="2:7" ht="36.75" customHeight="1">
      <c r="B44" s="349"/>
      <c r="C44" s="135" t="s">
        <v>316</v>
      </c>
      <c r="D44" s="136">
        <v>545.98</v>
      </c>
      <c r="E44" s="137">
        <v>4.7699999999999996</v>
      </c>
      <c r="F44" s="138">
        <v>2</v>
      </c>
      <c r="G44" s="47"/>
    </row>
    <row r="45" spans="2:7" ht="36.75" customHeight="1">
      <c r="B45" s="349"/>
      <c r="C45" s="135" t="s">
        <v>340</v>
      </c>
      <c r="D45" s="136">
        <v>264.73</v>
      </c>
      <c r="E45" s="137">
        <v>4.7699999999999996</v>
      </c>
      <c r="F45" s="138">
        <v>3</v>
      </c>
      <c r="G45" s="47"/>
    </row>
    <row r="46" spans="2:7" ht="36.75" customHeight="1">
      <c r="B46" s="349"/>
      <c r="C46" s="135" t="s">
        <v>341</v>
      </c>
      <c r="D46" s="136">
        <v>720.73</v>
      </c>
      <c r="E46" s="137">
        <v>4.7699999999999996</v>
      </c>
      <c r="F46" s="138">
        <v>3</v>
      </c>
      <c r="G46" s="47"/>
    </row>
    <row r="47" spans="2:7" ht="36.75" customHeight="1">
      <c r="B47" s="349"/>
      <c r="C47" s="135" t="s">
        <v>342</v>
      </c>
      <c r="D47" s="136">
        <v>228.96</v>
      </c>
      <c r="E47" s="137">
        <v>4.7699999999999996</v>
      </c>
      <c r="F47" s="138">
        <v>1</v>
      </c>
      <c r="G47" s="47"/>
    </row>
    <row r="48" spans="2:7" ht="36.75" customHeight="1">
      <c r="B48" s="349"/>
      <c r="C48" s="135" t="s">
        <v>343</v>
      </c>
      <c r="D48" s="136">
        <v>2.6</v>
      </c>
      <c r="E48" s="137">
        <v>9</v>
      </c>
      <c r="F48" s="138">
        <v>1</v>
      </c>
      <c r="G48" s="47"/>
    </row>
    <row r="49" spans="2:7" ht="36.75" customHeight="1">
      <c r="B49" s="349"/>
      <c r="C49" s="135" t="s">
        <v>344</v>
      </c>
      <c r="D49" s="136">
        <v>457.92</v>
      </c>
      <c r="E49" s="137">
        <v>4.7699999999999996</v>
      </c>
      <c r="F49" s="138">
        <v>1</v>
      </c>
      <c r="G49" s="47"/>
    </row>
    <row r="50" spans="2:7" ht="36.75" customHeight="1">
      <c r="B50" s="349"/>
      <c r="C50" s="135" t="s">
        <v>345</v>
      </c>
      <c r="D50" s="136">
        <v>105.18</v>
      </c>
      <c r="E50" s="137">
        <v>4.7699999999999996</v>
      </c>
      <c r="F50" s="138">
        <v>2</v>
      </c>
      <c r="G50" s="47"/>
    </row>
    <row r="51" spans="2:7" ht="36.75" customHeight="1">
      <c r="B51" s="349"/>
      <c r="C51" s="135" t="s">
        <v>346</v>
      </c>
      <c r="D51" s="136">
        <v>60.1</v>
      </c>
      <c r="E51" s="137">
        <v>4.7699999999999996</v>
      </c>
      <c r="F51" s="138">
        <v>1</v>
      </c>
      <c r="G51" s="47"/>
    </row>
    <row r="52" spans="2:7" ht="36.75" customHeight="1">
      <c r="B52" s="349"/>
      <c r="C52" s="135" t="s">
        <v>347</v>
      </c>
      <c r="D52" s="136">
        <v>808.9</v>
      </c>
      <c r="E52" s="137">
        <v>2.7</v>
      </c>
      <c r="F52" s="138">
        <v>3</v>
      </c>
      <c r="G52" s="47"/>
    </row>
    <row r="53" spans="2:7" ht="36.75" customHeight="1">
      <c r="B53" s="349"/>
      <c r="C53" s="135" t="s">
        <v>348</v>
      </c>
      <c r="D53" s="136">
        <v>427.54</v>
      </c>
      <c r="E53" s="137">
        <v>4.7699999999999996</v>
      </c>
      <c r="F53" s="138">
        <v>1</v>
      </c>
      <c r="G53" s="47"/>
    </row>
    <row r="54" spans="2:7" ht="36.75" customHeight="1">
      <c r="B54" s="349"/>
      <c r="C54" s="135" t="s">
        <v>349</v>
      </c>
      <c r="D54" s="136">
        <v>225.02</v>
      </c>
      <c r="E54" s="137">
        <v>2.7</v>
      </c>
      <c r="F54" s="138">
        <v>2</v>
      </c>
      <c r="G54" s="47"/>
    </row>
    <row r="55" spans="2:7" ht="36.75" customHeight="1">
      <c r="B55" s="349"/>
      <c r="C55" s="135" t="s">
        <v>350</v>
      </c>
      <c r="D55" s="136">
        <v>82.22</v>
      </c>
      <c r="E55" s="137">
        <v>2.7</v>
      </c>
      <c r="F55" s="138">
        <v>1</v>
      </c>
      <c r="G55" s="47"/>
    </row>
    <row r="56" spans="2:7" ht="36.75" customHeight="1">
      <c r="B56" s="349"/>
      <c r="C56" s="135" t="s">
        <v>351</v>
      </c>
      <c r="D56" s="136">
        <v>479.64</v>
      </c>
      <c r="E56" s="137">
        <v>4.7699999999999996</v>
      </c>
      <c r="F56" s="138">
        <v>2</v>
      </c>
      <c r="G56" s="47"/>
    </row>
    <row r="57" spans="2:7" ht="36.75" customHeight="1">
      <c r="B57" s="349"/>
      <c r="C57" s="135" t="s">
        <v>352</v>
      </c>
      <c r="D57" s="136">
        <v>182.25</v>
      </c>
      <c r="E57" s="137">
        <v>2.7</v>
      </c>
      <c r="F57" s="138">
        <v>1</v>
      </c>
      <c r="G57" s="47"/>
    </row>
    <row r="58" spans="2:7" ht="36.75" customHeight="1">
      <c r="B58" s="349"/>
      <c r="C58" s="135" t="s">
        <v>353</v>
      </c>
      <c r="D58" s="136">
        <v>34.020000000000003</v>
      </c>
      <c r="E58" s="137">
        <v>2.7</v>
      </c>
      <c r="F58" s="138">
        <v>1</v>
      </c>
      <c r="G58" s="47"/>
    </row>
    <row r="59" spans="2:7" ht="36.75" customHeight="1">
      <c r="B59" s="349"/>
      <c r="C59" s="135" t="s">
        <v>354</v>
      </c>
      <c r="D59" s="136">
        <v>60.75</v>
      </c>
      <c r="E59" s="137">
        <v>2.7</v>
      </c>
      <c r="F59" s="138">
        <v>1</v>
      </c>
      <c r="G59" s="47"/>
    </row>
    <row r="60" spans="2:7" ht="36.75" customHeight="1">
      <c r="B60" s="349"/>
      <c r="C60" s="135" t="s">
        <v>355</v>
      </c>
      <c r="D60" s="136">
        <v>177.44</v>
      </c>
      <c r="E60" s="137">
        <v>4.7699999999999996</v>
      </c>
      <c r="F60" s="138">
        <v>1</v>
      </c>
      <c r="G60" s="47"/>
    </row>
    <row r="61" spans="2:7" ht="36.75" customHeight="1">
      <c r="B61" s="349"/>
      <c r="C61" s="135" t="s">
        <v>356</v>
      </c>
      <c r="D61" s="136">
        <v>1490.39</v>
      </c>
      <c r="E61" s="137">
        <v>4.7699999999999996</v>
      </c>
      <c r="F61" s="138">
        <v>2</v>
      </c>
      <c r="G61" s="47"/>
    </row>
    <row r="62" spans="2:7" ht="36.75" customHeight="1">
      <c r="B62" s="349"/>
      <c r="C62" s="135" t="s">
        <v>357</v>
      </c>
      <c r="D62" s="136">
        <v>68.69</v>
      </c>
      <c r="E62" s="137">
        <v>4.7699999999999996</v>
      </c>
      <c r="F62" s="138">
        <v>1</v>
      </c>
      <c r="G62" s="47"/>
    </row>
    <row r="63" spans="2:7" ht="36.75" customHeight="1">
      <c r="B63" s="349"/>
      <c r="C63" s="135" t="s">
        <v>358</v>
      </c>
      <c r="D63" s="136">
        <v>6398.07</v>
      </c>
      <c r="E63" s="137">
        <v>6.3</v>
      </c>
      <c r="F63" s="139">
        <v>3</v>
      </c>
      <c r="G63" s="52"/>
    </row>
    <row r="64" spans="2:7" ht="25.5" customHeight="1">
      <c r="B64" s="49" t="s">
        <v>50</v>
      </c>
      <c r="C64" s="119"/>
      <c r="D64" s="140">
        <f>SUM(D8:D63)</f>
        <v>34300.720000000001</v>
      </c>
      <c r="E64" s="144">
        <f>SUM(E8:E63)</f>
        <v>229.65000000000006</v>
      </c>
      <c r="F64" s="141">
        <f>SUM(F8:F63)</f>
        <v>141</v>
      </c>
      <c r="G64" s="52"/>
    </row>
    <row r="65" spans="1:10" ht="25.5" customHeight="1">
      <c r="B65" s="349" t="s">
        <v>51</v>
      </c>
      <c r="C65" s="135" t="s">
        <v>359</v>
      </c>
      <c r="D65" s="136">
        <v>6.2</v>
      </c>
      <c r="E65" s="136">
        <v>6.2</v>
      </c>
      <c r="F65" s="139">
        <v>1</v>
      </c>
      <c r="G65" s="127" t="s">
        <v>360</v>
      </c>
    </row>
    <row r="66" spans="1:10" ht="25.5" customHeight="1">
      <c r="B66" s="349"/>
      <c r="C66" s="135" t="s">
        <v>361</v>
      </c>
      <c r="D66" s="136">
        <v>486.84</v>
      </c>
      <c r="E66" s="136">
        <v>25</v>
      </c>
      <c r="F66" s="139">
        <v>19</v>
      </c>
      <c r="G66" s="127" t="s">
        <v>360</v>
      </c>
    </row>
    <row r="67" spans="1:10" ht="25.5" customHeight="1">
      <c r="B67" s="349"/>
      <c r="C67" s="135" t="s">
        <v>362</v>
      </c>
      <c r="D67" s="136">
        <v>18.600000000000001</v>
      </c>
      <c r="E67" s="136">
        <v>3.72</v>
      </c>
      <c r="F67" s="139">
        <v>1</v>
      </c>
      <c r="G67" s="127" t="s">
        <v>360</v>
      </c>
    </row>
    <row r="68" spans="1:10" ht="25.5" customHeight="1">
      <c r="B68" s="349"/>
      <c r="C68" s="135" t="s">
        <v>363</v>
      </c>
      <c r="D68" s="136">
        <v>140.76</v>
      </c>
      <c r="E68" s="137">
        <v>37</v>
      </c>
      <c r="F68" s="139">
        <v>2</v>
      </c>
      <c r="G68" s="127" t="s">
        <v>360</v>
      </c>
    </row>
    <row r="69" spans="1:10" ht="25.5" customHeight="1">
      <c r="B69" s="349"/>
      <c r="C69" s="8" t="s">
        <v>364</v>
      </c>
      <c r="D69" s="136">
        <v>4.96</v>
      </c>
      <c r="E69" s="136">
        <v>4.96</v>
      </c>
      <c r="F69" s="139">
        <v>1</v>
      </c>
      <c r="G69" s="127" t="s">
        <v>360</v>
      </c>
    </row>
    <row r="70" spans="1:10" ht="25.5" customHeight="1">
      <c r="B70" s="349"/>
      <c r="C70" s="8" t="s">
        <v>364</v>
      </c>
      <c r="D70" s="136">
        <v>494.8</v>
      </c>
      <c r="E70" s="136">
        <v>25</v>
      </c>
      <c r="F70" s="139">
        <v>19</v>
      </c>
      <c r="G70" s="127" t="s">
        <v>360</v>
      </c>
      <c r="H70" s="54"/>
      <c r="I70" s="54"/>
      <c r="J70" s="54"/>
    </row>
    <row r="71" spans="1:10" ht="25.5" customHeight="1">
      <c r="B71" s="56" t="s">
        <v>50</v>
      </c>
      <c r="C71" s="56"/>
      <c r="D71" s="48">
        <f>SUM(D65:D70)</f>
        <v>1152.1600000000001</v>
      </c>
      <c r="E71" s="69">
        <f>SUM(E65:E70)</f>
        <v>101.88</v>
      </c>
      <c r="F71" s="142">
        <f>SUM(F65:F70)</f>
        <v>43</v>
      </c>
      <c r="G71" s="52"/>
      <c r="H71" s="54"/>
      <c r="I71" s="54"/>
      <c r="J71" s="54"/>
    </row>
    <row r="72" spans="1:10" ht="31.5" customHeight="1">
      <c r="B72" s="309" t="s">
        <v>54</v>
      </c>
      <c r="C72" s="309"/>
      <c r="D72" s="309"/>
      <c r="E72" s="309"/>
      <c r="F72" s="309"/>
      <c r="G72" s="310"/>
    </row>
    <row r="73" spans="1:10" ht="64.5" customHeight="1">
      <c r="A73" s="22"/>
      <c r="B73" s="119" t="s">
        <v>3</v>
      </c>
      <c r="C73" s="119" t="s">
        <v>55</v>
      </c>
      <c r="D73" s="119" t="s">
        <v>5</v>
      </c>
      <c r="E73" s="119" t="s">
        <v>56</v>
      </c>
      <c r="F73" s="119" t="s">
        <v>7</v>
      </c>
      <c r="G73" s="119" t="s">
        <v>57</v>
      </c>
    </row>
    <row r="74" spans="1:10" ht="33" customHeight="1">
      <c r="B74" s="145" t="s">
        <v>58</v>
      </c>
      <c r="C74" s="45"/>
      <c r="D74" s="45"/>
      <c r="E74" s="45"/>
      <c r="F74" s="143"/>
      <c r="G74" s="18"/>
    </row>
    <row r="75" spans="1:10" ht="24.75" customHeight="1">
      <c r="B75" s="56" t="s">
        <v>50</v>
      </c>
      <c r="C75" s="50"/>
      <c r="D75" s="50">
        <v>0</v>
      </c>
      <c r="E75" s="50"/>
      <c r="F75" s="105">
        <v>0</v>
      </c>
      <c r="G75" s="18"/>
    </row>
    <row r="76" spans="1:10" ht="28.5" customHeight="1">
      <c r="B76" s="145" t="s">
        <v>59</v>
      </c>
      <c r="C76" s="45" t="s">
        <v>365</v>
      </c>
      <c r="D76" s="91">
        <v>2714</v>
      </c>
      <c r="E76" s="91">
        <v>2714</v>
      </c>
      <c r="F76" s="143">
        <v>56</v>
      </c>
      <c r="G76" s="18"/>
    </row>
    <row r="77" spans="1:10" ht="29.25" customHeight="1">
      <c r="B77" s="56" t="s">
        <v>50</v>
      </c>
      <c r="C77" s="50"/>
      <c r="D77" s="48">
        <f>SUM(D76)</f>
        <v>2714</v>
      </c>
      <c r="E77" s="50">
        <f>SUM(E76)</f>
        <v>2714</v>
      </c>
      <c r="F77" s="105">
        <f>SUM(F76)</f>
        <v>56</v>
      </c>
      <c r="G77" s="18"/>
    </row>
    <row r="78" spans="1:10" ht="24" customHeight="1">
      <c r="B78" s="145" t="s">
        <v>61</v>
      </c>
      <c r="C78" s="45"/>
      <c r="D78" s="45"/>
      <c r="E78" s="45"/>
      <c r="F78" s="105"/>
      <c r="G78" s="18"/>
    </row>
    <row r="79" spans="1:10" ht="27" customHeight="1">
      <c r="B79" s="56" t="s">
        <v>50</v>
      </c>
      <c r="C79" s="50"/>
      <c r="D79" s="50">
        <v>0</v>
      </c>
      <c r="E79" s="50"/>
      <c r="F79" s="105">
        <v>0</v>
      </c>
      <c r="G79" s="18"/>
    </row>
    <row r="80" spans="1:10" ht="27" customHeight="1">
      <c r="B80" s="145" t="s">
        <v>62</v>
      </c>
      <c r="C80" s="45" t="s">
        <v>366</v>
      </c>
      <c r="D80" s="91">
        <v>20400</v>
      </c>
      <c r="E80" s="91">
        <v>20462</v>
      </c>
      <c r="F80" s="143">
        <v>1</v>
      </c>
      <c r="G80" s="18"/>
    </row>
    <row r="81" spans="2:7" ht="16.5" customHeight="1">
      <c r="B81" s="56" t="s">
        <v>50</v>
      </c>
      <c r="C81" s="50"/>
      <c r="D81" s="48">
        <f>SUM(D80)</f>
        <v>20400</v>
      </c>
      <c r="E81" s="50">
        <f>SUM(E80)</f>
        <v>20462</v>
      </c>
      <c r="F81" s="105">
        <f>SUM(F80)</f>
        <v>1</v>
      </c>
      <c r="G81" s="18"/>
    </row>
    <row r="82" spans="2:7" ht="30.75" customHeight="1">
      <c r="B82" s="145" t="s">
        <v>69</v>
      </c>
      <c r="C82" s="60"/>
      <c r="D82" s="45"/>
      <c r="E82" s="45"/>
      <c r="F82" s="143"/>
      <c r="G82" s="18"/>
    </row>
    <row r="83" spans="2:7">
      <c r="B83" s="56" t="s">
        <v>50</v>
      </c>
      <c r="C83" s="50"/>
      <c r="D83" s="50">
        <v>0</v>
      </c>
      <c r="E83" s="50"/>
      <c r="F83" s="105">
        <v>0</v>
      </c>
      <c r="G83" s="18"/>
    </row>
    <row r="84" spans="2:7" ht="17.25" customHeight="1">
      <c r="B84" s="314"/>
      <c r="C84" s="314"/>
      <c r="D84" s="314"/>
      <c r="E84" s="314"/>
      <c r="F84" s="314"/>
      <c r="G84" s="314"/>
    </row>
    <row r="85" spans="2:7" ht="41.25" customHeight="1">
      <c r="B85" s="61" t="s">
        <v>121</v>
      </c>
      <c r="C85" s="59"/>
      <c r="D85" s="132">
        <f>SUM(D64+D71+D75+D77+D79+D81+D83)</f>
        <v>58566.880000000005</v>
      </c>
      <c r="E85" s="132">
        <f>SUM(E64+E71+E75+E77+E79+E81+E83)</f>
        <v>23507.53</v>
      </c>
      <c r="F85" s="62">
        <f>SUM(F64+F71+F75+F77+F79+F81+F83)</f>
        <v>241</v>
      </c>
      <c r="G85" s="18"/>
    </row>
    <row r="86" spans="2:7">
      <c r="B86" s="63"/>
      <c r="C86" s="64"/>
      <c r="D86" s="64"/>
      <c r="E86" s="64"/>
      <c r="F86" s="64"/>
    </row>
    <row r="87" spans="2:7">
      <c r="B87" s="63"/>
      <c r="C87" s="64"/>
      <c r="D87" s="64"/>
      <c r="E87" s="64"/>
      <c r="F87" s="64"/>
    </row>
    <row r="88" spans="2:7">
      <c r="B88" s="65" t="s">
        <v>304</v>
      </c>
    </row>
    <row r="89" spans="2:7">
      <c r="B89" s="65"/>
    </row>
    <row r="90" spans="2:7">
      <c r="B90" t="s">
        <v>367</v>
      </c>
    </row>
    <row r="91" spans="2:7">
      <c r="B91" t="s">
        <v>368</v>
      </c>
    </row>
    <row r="92" spans="2:7">
      <c r="B92" s="40"/>
    </row>
    <row r="93" spans="2:7">
      <c r="B93" t="s">
        <v>129</v>
      </c>
    </row>
    <row r="94" spans="2:7">
      <c r="B94" s="315"/>
      <c r="C94" s="315"/>
      <c r="D94" s="315"/>
    </row>
    <row r="95" spans="2:7">
      <c r="B95" t="s">
        <v>130</v>
      </c>
    </row>
    <row r="96" spans="2:7" ht="15.75" customHeight="1"/>
  </sheetData>
  <mergeCells count="8">
    <mergeCell ref="B84:G84"/>
    <mergeCell ref="B94:D94"/>
    <mergeCell ref="B4:G4"/>
    <mergeCell ref="B5:G5"/>
    <mergeCell ref="B6:G6"/>
    <mergeCell ref="B8:B63"/>
    <mergeCell ref="B65:B70"/>
    <mergeCell ref="B72:G7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opLeftCell="A89" workbookViewId="0">
      <selection activeCell="A91" sqref="A91:F91"/>
    </sheetView>
  </sheetViews>
  <sheetFormatPr defaultRowHeight="15"/>
  <cols>
    <col min="1" max="1" width="33.140625" customWidth="1"/>
    <col min="2" max="2" width="40.5703125" customWidth="1"/>
    <col min="3" max="4" width="25.7109375" customWidth="1"/>
    <col min="5" max="5" width="21.7109375" customWidth="1"/>
    <col min="6" max="6" width="47.7109375" customWidth="1"/>
  </cols>
  <sheetData>
    <row r="1" spans="1:6" ht="20.25">
      <c r="A1" s="189" t="s">
        <v>0</v>
      </c>
      <c r="B1" s="42"/>
      <c r="C1" s="42"/>
      <c r="D1" s="42"/>
      <c r="E1" s="42"/>
      <c r="F1" s="42"/>
    </row>
    <row r="2" spans="1:6" ht="20.25">
      <c r="A2" s="189" t="s">
        <v>71</v>
      </c>
      <c r="B2" s="42"/>
      <c r="C2" s="190"/>
      <c r="D2" s="190"/>
      <c r="E2" s="42"/>
      <c r="F2" s="42"/>
    </row>
    <row r="3" spans="1:6" ht="20.25">
      <c r="A3" s="189"/>
      <c r="B3" s="42"/>
      <c r="C3" s="190"/>
      <c r="D3" s="190"/>
      <c r="E3" s="42"/>
      <c r="F3" s="42"/>
    </row>
    <row r="4" spans="1:6" ht="18.75">
      <c r="A4" s="342" t="s">
        <v>487</v>
      </c>
      <c r="B4" s="342"/>
      <c r="C4" s="342"/>
      <c r="D4" s="342"/>
      <c r="E4" s="342"/>
      <c r="F4" s="342"/>
    </row>
    <row r="5" spans="1:6" ht="18.75">
      <c r="A5" s="342" t="s">
        <v>488</v>
      </c>
      <c r="B5" s="342"/>
      <c r="C5" s="342"/>
      <c r="D5" s="342"/>
      <c r="E5" s="342"/>
      <c r="F5" s="342"/>
    </row>
    <row r="6" spans="1:6" ht="18.75">
      <c r="A6" s="343" t="s">
        <v>2</v>
      </c>
      <c r="B6" s="377"/>
      <c r="C6" s="377"/>
      <c r="D6" s="377"/>
      <c r="E6" s="377"/>
      <c r="F6" s="377"/>
    </row>
    <row r="7" spans="1:6" ht="39" thickBot="1">
      <c r="A7" s="191" t="s">
        <v>3</v>
      </c>
      <c r="B7" s="192" t="s">
        <v>4</v>
      </c>
      <c r="C7" s="192" t="s">
        <v>5</v>
      </c>
      <c r="D7" s="192" t="s">
        <v>6</v>
      </c>
      <c r="E7" s="192" t="s">
        <v>489</v>
      </c>
      <c r="F7" s="192" t="s">
        <v>8</v>
      </c>
    </row>
    <row r="8" spans="1:6">
      <c r="A8" s="378" t="s">
        <v>9</v>
      </c>
      <c r="B8" s="361" t="s">
        <v>490</v>
      </c>
      <c r="C8" s="353">
        <v>171.88</v>
      </c>
      <c r="D8" s="193">
        <v>3.39</v>
      </c>
      <c r="E8" s="194">
        <v>3</v>
      </c>
      <c r="F8" s="195"/>
    </row>
    <row r="9" spans="1:6" ht="15.75" thickBot="1">
      <c r="A9" s="378"/>
      <c r="B9" s="363"/>
      <c r="C9" s="354"/>
      <c r="D9" s="196">
        <f>6*0.3</f>
        <v>1.7999999999999998</v>
      </c>
      <c r="E9" s="197">
        <v>3</v>
      </c>
      <c r="F9" s="198"/>
    </row>
    <row r="10" spans="1:6">
      <c r="A10" s="378"/>
      <c r="B10" s="361" t="s">
        <v>491</v>
      </c>
      <c r="C10" s="353">
        <v>761.77</v>
      </c>
      <c r="D10" s="193">
        <v>5.93</v>
      </c>
      <c r="E10" s="194">
        <v>2</v>
      </c>
      <c r="F10" s="195"/>
    </row>
    <row r="11" spans="1:6">
      <c r="A11" s="378"/>
      <c r="B11" s="362"/>
      <c r="C11" s="365"/>
      <c r="D11" s="199">
        <v>5.93</v>
      </c>
      <c r="E11" s="200">
        <v>2</v>
      </c>
      <c r="F11" s="201"/>
    </row>
    <row r="12" spans="1:6">
      <c r="A12" s="378"/>
      <c r="B12" s="362"/>
      <c r="C12" s="365"/>
      <c r="D12" s="199">
        <f>10*0.3</f>
        <v>3</v>
      </c>
      <c r="E12" s="200">
        <v>1</v>
      </c>
      <c r="F12" s="202"/>
    </row>
    <row r="13" spans="1:6" ht="15.75" thickBot="1">
      <c r="A13" s="378"/>
      <c r="B13" s="363"/>
      <c r="C13" s="354"/>
      <c r="D13" s="196">
        <f>6*0.3</f>
        <v>1.7999999999999998</v>
      </c>
      <c r="E13" s="160">
        <v>2</v>
      </c>
      <c r="F13" s="198"/>
    </row>
    <row r="14" spans="1:6" ht="20.25" customHeight="1">
      <c r="A14" s="378"/>
      <c r="B14" s="361" t="s">
        <v>492</v>
      </c>
      <c r="C14" s="353">
        <v>1414.87</v>
      </c>
      <c r="D14" s="193">
        <v>5.93</v>
      </c>
      <c r="E14" s="194">
        <v>5</v>
      </c>
      <c r="F14" s="195"/>
    </row>
    <row r="15" spans="1:6" ht="15.75" thickBot="1">
      <c r="A15" s="378"/>
      <c r="B15" s="363"/>
      <c r="C15" s="354"/>
      <c r="D15" s="196">
        <f>10*0.3</f>
        <v>3</v>
      </c>
      <c r="E15" s="197">
        <v>4</v>
      </c>
      <c r="F15" s="203"/>
    </row>
    <row r="16" spans="1:6">
      <c r="A16" s="378"/>
      <c r="B16" s="351" t="s">
        <v>493</v>
      </c>
      <c r="C16" s="371">
        <v>2614.35</v>
      </c>
      <c r="D16" s="193">
        <v>8.4700000000000006</v>
      </c>
      <c r="E16" s="194">
        <v>3</v>
      </c>
      <c r="F16" s="195"/>
    </row>
    <row r="17" spans="1:6">
      <c r="A17" s="378"/>
      <c r="B17" s="367"/>
      <c r="C17" s="372"/>
      <c r="D17" s="199">
        <v>3.39</v>
      </c>
      <c r="E17" s="200">
        <v>1</v>
      </c>
      <c r="F17" s="201"/>
    </row>
    <row r="18" spans="1:6">
      <c r="A18" s="378"/>
      <c r="B18" s="367"/>
      <c r="C18" s="372"/>
      <c r="D18" s="199">
        <f>15*0.3</f>
        <v>4.5</v>
      </c>
      <c r="E18" s="200">
        <v>3</v>
      </c>
      <c r="F18" s="204"/>
    </row>
    <row r="19" spans="1:6" ht="15.75" thickBot="1">
      <c r="A19" s="378"/>
      <c r="B19" s="352"/>
      <c r="C19" s="373"/>
      <c r="D19" s="205">
        <f>6*0.3</f>
        <v>1.7999999999999998</v>
      </c>
      <c r="E19" s="206">
        <v>1</v>
      </c>
      <c r="F19" s="207"/>
    </row>
    <row r="20" spans="1:6" ht="17.25" customHeight="1">
      <c r="A20" s="378"/>
      <c r="B20" s="351" t="s">
        <v>494</v>
      </c>
      <c r="C20" s="375">
        <v>3610.45</v>
      </c>
      <c r="D20" s="208">
        <v>8.4700000000000006</v>
      </c>
      <c r="E20" s="209">
        <v>4</v>
      </c>
      <c r="F20" s="210"/>
    </row>
    <row r="21" spans="1:6" ht="21.75" customHeight="1">
      <c r="A21" s="378"/>
      <c r="B21" s="374"/>
      <c r="C21" s="376"/>
      <c r="D21" s="199">
        <f>15*0.3</f>
        <v>4.5</v>
      </c>
      <c r="E21" s="200">
        <v>5</v>
      </c>
      <c r="F21" s="204"/>
    </row>
    <row r="22" spans="1:6" ht="39" thickBot="1">
      <c r="A22" s="378"/>
      <c r="B22" s="211" t="s">
        <v>495</v>
      </c>
      <c r="C22" s="212">
        <v>0</v>
      </c>
      <c r="D22" s="213">
        <v>5.93</v>
      </c>
      <c r="E22" s="214">
        <v>1</v>
      </c>
      <c r="F22" s="215"/>
    </row>
    <row r="23" spans="1:6">
      <c r="A23" s="378"/>
      <c r="B23" s="361" t="s">
        <v>496</v>
      </c>
      <c r="C23" s="364">
        <v>1251.94</v>
      </c>
      <c r="D23" s="193">
        <v>3.39</v>
      </c>
      <c r="E23" s="194">
        <v>2</v>
      </c>
      <c r="F23" s="195"/>
    </row>
    <row r="24" spans="1:6">
      <c r="A24" s="378"/>
      <c r="B24" s="362"/>
      <c r="C24" s="365"/>
      <c r="D24" s="199">
        <f>10*0.3</f>
        <v>3</v>
      </c>
      <c r="E24" s="200">
        <v>3</v>
      </c>
      <c r="F24" s="202"/>
    </row>
    <row r="25" spans="1:6">
      <c r="A25" s="378"/>
      <c r="B25" s="362"/>
      <c r="C25" s="365"/>
      <c r="D25" s="199">
        <v>5.93</v>
      </c>
      <c r="E25" s="200">
        <v>3</v>
      </c>
      <c r="F25" s="201"/>
    </row>
    <row r="26" spans="1:6" ht="15.75" thickBot="1">
      <c r="A26" s="378"/>
      <c r="B26" s="363"/>
      <c r="C26" s="366"/>
      <c r="D26" s="205">
        <f>6*0.3</f>
        <v>1.7999999999999998</v>
      </c>
      <c r="E26" s="206">
        <v>2</v>
      </c>
      <c r="F26" s="207"/>
    </row>
    <row r="27" spans="1:6">
      <c r="A27" s="378"/>
      <c r="B27" s="351" t="s">
        <v>497</v>
      </c>
      <c r="C27" s="353">
        <v>535.21</v>
      </c>
      <c r="D27" s="193">
        <v>5.93</v>
      </c>
      <c r="E27" s="194">
        <v>4</v>
      </c>
      <c r="F27" s="195"/>
    </row>
    <row r="28" spans="1:6">
      <c r="A28" s="378"/>
      <c r="B28" s="367"/>
      <c r="C28" s="365"/>
      <c r="D28" s="199">
        <f>10*0.3</f>
        <v>3</v>
      </c>
      <c r="E28" s="200">
        <v>3</v>
      </c>
      <c r="F28" s="202"/>
    </row>
    <row r="29" spans="1:6" ht="15.75" thickBot="1">
      <c r="A29" s="378"/>
      <c r="B29" s="352"/>
      <c r="C29" s="354"/>
      <c r="D29" s="205">
        <f>6*0.3</f>
        <v>1.7999999999999998</v>
      </c>
      <c r="E29" s="206">
        <v>1</v>
      </c>
      <c r="F29" s="207"/>
    </row>
    <row r="30" spans="1:6">
      <c r="A30" s="378"/>
      <c r="B30" s="351" t="s">
        <v>498</v>
      </c>
      <c r="C30" s="353">
        <v>219.26</v>
      </c>
      <c r="D30" s="193">
        <v>5.93</v>
      </c>
      <c r="E30" s="194">
        <v>3</v>
      </c>
      <c r="F30" s="195"/>
    </row>
    <row r="31" spans="1:6" ht="22.5" customHeight="1" thickBot="1">
      <c r="A31" s="378"/>
      <c r="B31" s="352"/>
      <c r="C31" s="354"/>
      <c r="D31" s="205">
        <f>6*0.3</f>
        <v>1.7999999999999998</v>
      </c>
      <c r="E31" s="206">
        <v>3</v>
      </c>
      <c r="F31" s="207"/>
    </row>
    <row r="32" spans="1:6">
      <c r="A32" s="378"/>
      <c r="B32" s="351" t="s">
        <v>499</v>
      </c>
      <c r="C32" s="353">
        <v>1605.85</v>
      </c>
      <c r="D32" s="208">
        <v>5.93</v>
      </c>
      <c r="E32" s="209">
        <v>2</v>
      </c>
      <c r="F32" s="210"/>
    </row>
    <row r="33" spans="1:6">
      <c r="A33" s="378"/>
      <c r="B33" s="367"/>
      <c r="C33" s="365"/>
      <c r="D33" s="199">
        <f>10*0.3</f>
        <v>3</v>
      </c>
      <c r="E33" s="200">
        <v>5</v>
      </c>
      <c r="F33" s="202"/>
    </row>
    <row r="34" spans="1:6" ht="15.75" thickBot="1">
      <c r="A34" s="378"/>
      <c r="B34" s="367"/>
      <c r="C34" s="365"/>
      <c r="D34" s="216">
        <f>6*0.3</f>
        <v>1.7999999999999998</v>
      </c>
      <c r="E34" s="217">
        <v>1</v>
      </c>
      <c r="F34" s="218"/>
    </row>
    <row r="35" spans="1:6">
      <c r="A35" s="378"/>
      <c r="B35" s="361" t="s">
        <v>500</v>
      </c>
      <c r="C35" s="353">
        <v>330.37</v>
      </c>
      <c r="D35" s="193">
        <v>5.93</v>
      </c>
      <c r="E35" s="194">
        <v>1</v>
      </c>
      <c r="F35" s="219"/>
    </row>
    <row r="36" spans="1:6" ht="15.75" thickBot="1">
      <c r="A36" s="378"/>
      <c r="B36" s="363"/>
      <c r="C36" s="354"/>
      <c r="D36" s="196">
        <f>10*0.3</f>
        <v>3</v>
      </c>
      <c r="E36" s="197">
        <v>2</v>
      </c>
      <c r="F36" s="203"/>
    </row>
    <row r="37" spans="1:6">
      <c r="A37" s="378"/>
      <c r="B37" s="361" t="s">
        <v>501</v>
      </c>
      <c r="C37" s="353">
        <v>3337.92</v>
      </c>
      <c r="D37" s="216">
        <v>8.4700000000000006</v>
      </c>
      <c r="E37" s="217">
        <v>5</v>
      </c>
      <c r="F37" s="220"/>
    </row>
    <row r="38" spans="1:6" ht="15.75" thickBot="1">
      <c r="A38" s="378"/>
      <c r="B38" s="363"/>
      <c r="C38" s="354"/>
      <c r="D38" s="199">
        <f>15*0.3</f>
        <v>4.5</v>
      </c>
      <c r="E38" s="200">
        <v>5</v>
      </c>
      <c r="F38" s="204"/>
    </row>
    <row r="39" spans="1:6">
      <c r="A39" s="378"/>
      <c r="B39" s="361" t="s">
        <v>502</v>
      </c>
      <c r="C39" s="364">
        <v>880.07</v>
      </c>
      <c r="D39" s="193">
        <v>5.93</v>
      </c>
      <c r="E39" s="194">
        <v>4</v>
      </c>
      <c r="F39" s="195"/>
    </row>
    <row r="40" spans="1:6">
      <c r="A40" s="378"/>
      <c r="B40" s="362"/>
      <c r="C40" s="365"/>
      <c r="D40" s="199">
        <f>10*0.3</f>
        <v>3</v>
      </c>
      <c r="E40" s="200">
        <v>2</v>
      </c>
      <c r="F40" s="202"/>
    </row>
    <row r="41" spans="1:6">
      <c r="A41" s="378"/>
      <c r="B41" s="362"/>
      <c r="C41" s="365"/>
      <c r="D41" s="199">
        <v>3.39</v>
      </c>
      <c r="E41" s="200">
        <v>3</v>
      </c>
      <c r="F41" s="202"/>
    </row>
    <row r="42" spans="1:6" ht="15.75" thickBot="1">
      <c r="A42" s="378"/>
      <c r="B42" s="363"/>
      <c r="C42" s="366"/>
      <c r="D42" s="216">
        <f>6*0.3</f>
        <v>1.7999999999999998</v>
      </c>
      <c r="E42" s="217">
        <v>3</v>
      </c>
      <c r="F42" s="218"/>
    </row>
    <row r="43" spans="1:6">
      <c r="A43" s="378"/>
      <c r="B43" s="351" t="s">
        <v>503</v>
      </c>
      <c r="C43" s="364">
        <v>418.32</v>
      </c>
      <c r="D43" s="193">
        <v>5.93</v>
      </c>
      <c r="E43" s="194">
        <v>4</v>
      </c>
      <c r="F43" s="195"/>
    </row>
    <row r="44" spans="1:6">
      <c r="A44" s="378"/>
      <c r="B44" s="367"/>
      <c r="C44" s="365"/>
      <c r="D44" s="199">
        <f>10*0.3</f>
        <v>3</v>
      </c>
      <c r="E44" s="200">
        <v>4</v>
      </c>
      <c r="F44" s="202"/>
    </row>
    <row r="45" spans="1:6">
      <c r="A45" s="378"/>
      <c r="B45" s="367"/>
      <c r="C45" s="365"/>
      <c r="D45" s="199">
        <v>3.39</v>
      </c>
      <c r="E45" s="200">
        <v>2</v>
      </c>
      <c r="F45" s="201"/>
    </row>
    <row r="46" spans="1:6">
      <c r="A46" s="378"/>
      <c r="B46" s="367"/>
      <c r="C46" s="365"/>
      <c r="D46" s="199">
        <v>6</v>
      </c>
      <c r="E46" s="200">
        <v>1</v>
      </c>
      <c r="F46" s="221"/>
    </row>
    <row r="47" spans="1:6" ht="15.75" thickBot="1">
      <c r="A47" s="378"/>
      <c r="B47" s="367"/>
      <c r="C47" s="368"/>
      <c r="D47" s="216">
        <f>6*0.3</f>
        <v>1.7999999999999998</v>
      </c>
      <c r="E47" s="217">
        <v>1</v>
      </c>
      <c r="F47" s="221"/>
    </row>
    <row r="48" spans="1:6">
      <c r="A48" s="378"/>
      <c r="B48" s="369" t="s">
        <v>504</v>
      </c>
      <c r="C48" s="364">
        <v>1435.25</v>
      </c>
      <c r="D48" s="193">
        <v>5.93</v>
      </c>
      <c r="E48" s="194">
        <v>2</v>
      </c>
      <c r="F48" s="219"/>
    </row>
    <row r="49" spans="1:6" ht="20.25" customHeight="1" thickBot="1">
      <c r="A49" s="378"/>
      <c r="B49" s="370"/>
      <c r="C49" s="366"/>
      <c r="D49" s="222">
        <v>3.39</v>
      </c>
      <c r="E49" s="160">
        <v>2</v>
      </c>
      <c r="F49" s="223"/>
    </row>
    <row r="50" spans="1:6">
      <c r="A50" s="378"/>
      <c r="B50" s="362" t="s">
        <v>505</v>
      </c>
      <c r="C50" s="365">
        <v>713.18</v>
      </c>
      <c r="D50" s="208">
        <v>3.39</v>
      </c>
      <c r="E50" s="209">
        <v>5</v>
      </c>
      <c r="F50" s="210"/>
    </row>
    <row r="51" spans="1:6">
      <c r="A51" s="378"/>
      <c r="B51" s="362"/>
      <c r="C51" s="365"/>
      <c r="D51" s="199">
        <v>6</v>
      </c>
      <c r="E51" s="200">
        <v>1</v>
      </c>
      <c r="F51" s="221"/>
    </row>
    <row r="52" spans="1:6" ht="15.75" thickBot="1">
      <c r="A52" s="378"/>
      <c r="B52" s="363"/>
      <c r="C52" s="354"/>
      <c r="D52" s="205">
        <f>6*0.3</f>
        <v>1.7999999999999998</v>
      </c>
      <c r="E52" s="206">
        <v>3</v>
      </c>
      <c r="F52" s="198"/>
    </row>
    <row r="53" spans="1:6">
      <c r="A53" s="378"/>
      <c r="B53" s="361" t="s">
        <v>506</v>
      </c>
      <c r="C53" s="364">
        <v>493.84</v>
      </c>
      <c r="D53" s="208">
        <v>5.93</v>
      </c>
      <c r="E53" s="209">
        <v>2</v>
      </c>
      <c r="F53" s="210"/>
    </row>
    <row r="54" spans="1:6">
      <c r="A54" s="378"/>
      <c r="B54" s="362"/>
      <c r="C54" s="365"/>
      <c r="D54" s="199">
        <f>10*0.3</f>
        <v>3</v>
      </c>
      <c r="E54" s="200">
        <v>1</v>
      </c>
      <c r="F54" s="202"/>
    </row>
    <row r="55" spans="1:6">
      <c r="A55" s="378"/>
      <c r="B55" s="362"/>
      <c r="C55" s="365"/>
      <c r="D55" s="199">
        <v>3.39</v>
      </c>
      <c r="E55" s="200">
        <v>1</v>
      </c>
      <c r="F55" s="224"/>
    </row>
    <row r="56" spans="1:6" ht="15.75" thickBot="1">
      <c r="A56" s="378"/>
      <c r="B56" s="363"/>
      <c r="C56" s="366"/>
      <c r="D56" s="205">
        <f>6*0.3</f>
        <v>1.7999999999999998</v>
      </c>
      <c r="E56" s="206">
        <v>2</v>
      </c>
      <c r="F56" s="198"/>
    </row>
    <row r="57" spans="1:6" ht="21.75" customHeight="1">
      <c r="A57" s="378"/>
      <c r="B57" s="361" t="s">
        <v>507</v>
      </c>
      <c r="C57" s="353">
        <v>366.95</v>
      </c>
      <c r="D57" s="216">
        <v>5.93</v>
      </c>
      <c r="E57" s="217">
        <v>1</v>
      </c>
      <c r="F57" s="218"/>
    </row>
    <row r="58" spans="1:6" ht="33" customHeight="1" thickBot="1">
      <c r="A58" s="378"/>
      <c r="B58" s="363"/>
      <c r="C58" s="354"/>
      <c r="D58" s="199">
        <f>10*0.3</f>
        <v>3</v>
      </c>
      <c r="E58" s="200">
        <v>1</v>
      </c>
      <c r="F58" s="202"/>
    </row>
    <row r="59" spans="1:6">
      <c r="A59" s="378"/>
      <c r="B59" s="351" t="s">
        <v>508</v>
      </c>
      <c r="C59" s="353">
        <v>542.65</v>
      </c>
      <c r="D59" s="193">
        <v>5.93</v>
      </c>
      <c r="E59" s="194">
        <v>1</v>
      </c>
      <c r="F59" s="195"/>
    </row>
    <row r="60" spans="1:6">
      <c r="A60" s="378"/>
      <c r="B60" s="367"/>
      <c r="C60" s="365"/>
      <c r="D60" s="199">
        <f>10*0.3</f>
        <v>3</v>
      </c>
      <c r="E60" s="200">
        <v>3</v>
      </c>
      <c r="F60" s="202"/>
    </row>
    <row r="61" spans="1:6">
      <c r="A61" s="378"/>
      <c r="B61" s="367"/>
      <c r="C61" s="365"/>
      <c r="D61" s="213">
        <v>3.39</v>
      </c>
      <c r="E61" s="200">
        <v>1</v>
      </c>
      <c r="F61" s="220"/>
    </row>
    <row r="62" spans="1:6">
      <c r="A62" s="378"/>
      <c r="B62" s="367"/>
      <c r="C62" s="365"/>
      <c r="D62" s="199">
        <v>6</v>
      </c>
      <c r="E62" s="200">
        <v>1</v>
      </c>
      <c r="F62" s="221"/>
    </row>
    <row r="63" spans="1:6" ht="21" customHeight="1" thickBot="1">
      <c r="A63" s="378"/>
      <c r="B63" s="367"/>
      <c r="C63" s="365"/>
      <c r="D63" s="213">
        <f>10*0.3</f>
        <v>3</v>
      </c>
      <c r="E63" s="217">
        <v>4</v>
      </c>
      <c r="F63" s="224"/>
    </row>
    <row r="64" spans="1:6" ht="22.5" customHeight="1">
      <c r="A64" s="378"/>
      <c r="B64" s="351" t="s">
        <v>509</v>
      </c>
      <c r="C64" s="353">
        <v>291.54000000000002</v>
      </c>
      <c r="D64" s="193">
        <v>5.93</v>
      </c>
      <c r="E64" s="194">
        <v>1</v>
      </c>
      <c r="F64" s="225"/>
    </row>
    <row r="65" spans="1:6" ht="15.75" thickBot="1">
      <c r="A65" s="378"/>
      <c r="B65" s="352"/>
      <c r="C65" s="354"/>
      <c r="D65" s="196">
        <f>10*0.3</f>
        <v>3</v>
      </c>
      <c r="E65" s="197">
        <v>3</v>
      </c>
      <c r="F65" s="203"/>
    </row>
    <row r="66" spans="1:6">
      <c r="A66" s="226" t="s">
        <v>50</v>
      </c>
      <c r="B66" s="227"/>
      <c r="C66" s="228">
        <f>SUM(C8:C64)</f>
        <v>20995.670000000006</v>
      </c>
      <c r="D66" s="228">
        <f>+SUM(D8:D65)</f>
        <v>241.09999999999997</v>
      </c>
      <c r="E66" s="229">
        <f>SUM(E8:E65)</f>
        <v>144</v>
      </c>
      <c r="F66" s="227"/>
    </row>
    <row r="67" spans="1:6" ht="25.5">
      <c r="A67" s="355" t="s">
        <v>51</v>
      </c>
      <c r="B67" s="230" t="s">
        <v>510</v>
      </c>
      <c r="C67" s="231">
        <v>187.5</v>
      </c>
      <c r="D67" s="212">
        <v>25</v>
      </c>
      <c r="E67" s="232">
        <v>5</v>
      </c>
      <c r="F67" s="230" t="s">
        <v>511</v>
      </c>
    </row>
    <row r="68" spans="1:6" ht="25.5">
      <c r="A68" s="355"/>
      <c r="B68" s="230" t="s">
        <v>512</v>
      </c>
      <c r="C68" s="212">
        <v>79</v>
      </c>
      <c r="D68" s="212">
        <v>37</v>
      </c>
      <c r="E68" s="233">
        <v>2</v>
      </c>
      <c r="F68" s="230" t="s">
        <v>511</v>
      </c>
    </row>
    <row r="69" spans="1:6" ht="25.5">
      <c r="A69" s="355"/>
      <c r="B69" s="230" t="s">
        <v>513</v>
      </c>
      <c r="C69" s="234">
        <v>163</v>
      </c>
      <c r="D69" s="234">
        <v>37</v>
      </c>
      <c r="E69" s="233">
        <v>2</v>
      </c>
      <c r="F69" s="230" t="s">
        <v>511</v>
      </c>
    </row>
    <row r="70" spans="1:6">
      <c r="A70" s="226" t="s">
        <v>50</v>
      </c>
      <c r="B70" s="235"/>
      <c r="C70" s="228">
        <f>SUM(C67:C69)</f>
        <v>429.5</v>
      </c>
      <c r="D70" s="228">
        <f>SUM(D67:D69)</f>
        <v>99</v>
      </c>
      <c r="E70" s="229">
        <f>+SUM(E67:E69)</f>
        <v>9</v>
      </c>
      <c r="F70" s="236"/>
    </row>
    <row r="71" spans="1:6">
      <c r="A71" s="356" t="s">
        <v>54</v>
      </c>
      <c r="B71" s="356"/>
      <c r="C71" s="356"/>
      <c r="D71" s="356"/>
      <c r="E71" s="356"/>
      <c r="F71" s="356"/>
    </row>
    <row r="72" spans="1:6" ht="38.25">
      <c r="A72" s="191" t="s">
        <v>3</v>
      </c>
      <c r="B72" s="237" t="s">
        <v>55</v>
      </c>
      <c r="C72" s="237" t="s">
        <v>5</v>
      </c>
      <c r="D72" s="237" t="s">
        <v>56</v>
      </c>
      <c r="E72" s="237" t="s">
        <v>7</v>
      </c>
      <c r="F72" s="237" t="s">
        <v>57</v>
      </c>
    </row>
    <row r="73" spans="1:6" ht="38.25">
      <c r="A73" s="238" t="s">
        <v>58</v>
      </c>
      <c r="B73" s="239" t="s">
        <v>514</v>
      </c>
      <c r="C73" s="234">
        <v>882</v>
      </c>
      <c r="D73" s="234">
        <v>1764</v>
      </c>
      <c r="E73" s="240">
        <v>1</v>
      </c>
      <c r="F73" s="241"/>
    </row>
    <row r="74" spans="1:6" ht="15.75" thickBot="1">
      <c r="A74" s="242" t="s">
        <v>50</v>
      </c>
      <c r="B74" s="243"/>
      <c r="C74" s="244">
        <f>+C73</f>
        <v>882</v>
      </c>
      <c r="D74" s="244">
        <f>+D73</f>
        <v>1764</v>
      </c>
      <c r="E74" s="245">
        <f>+E73</f>
        <v>1</v>
      </c>
      <c r="F74" s="241"/>
    </row>
    <row r="75" spans="1:6">
      <c r="A75" s="238" t="s">
        <v>59</v>
      </c>
      <c r="B75" s="246" t="s">
        <v>515</v>
      </c>
      <c r="C75" s="247">
        <v>840</v>
      </c>
      <c r="D75" s="247">
        <v>840</v>
      </c>
      <c r="E75" s="229">
        <v>18</v>
      </c>
      <c r="F75" s="241"/>
    </row>
    <row r="76" spans="1:6">
      <c r="A76" s="191"/>
      <c r="B76" s="248" t="s">
        <v>516</v>
      </c>
      <c r="C76" s="234">
        <v>1980</v>
      </c>
      <c r="D76" s="234">
        <v>1980</v>
      </c>
      <c r="E76" s="240">
        <v>55</v>
      </c>
      <c r="F76" s="241"/>
    </row>
    <row r="77" spans="1:6">
      <c r="A77" s="191"/>
      <c r="B77" s="248" t="s">
        <v>517</v>
      </c>
      <c r="C77" s="234">
        <v>0</v>
      </c>
      <c r="D77" s="234">
        <v>2203</v>
      </c>
      <c r="E77" s="240">
        <v>39</v>
      </c>
      <c r="F77" s="241"/>
    </row>
    <row r="78" spans="1:6">
      <c r="A78" s="191"/>
      <c r="B78" s="248" t="s">
        <v>518</v>
      </c>
      <c r="C78" s="234">
        <v>912</v>
      </c>
      <c r="D78" s="234">
        <v>960</v>
      </c>
      <c r="E78" s="240">
        <v>19</v>
      </c>
      <c r="F78" s="241"/>
    </row>
    <row r="79" spans="1:6">
      <c r="A79" s="191"/>
      <c r="B79" s="249" t="s">
        <v>519</v>
      </c>
      <c r="C79" s="234">
        <v>390</v>
      </c>
      <c r="D79" s="234">
        <v>520</v>
      </c>
      <c r="E79" s="240">
        <v>8</v>
      </c>
      <c r="F79" s="241"/>
    </row>
    <row r="80" spans="1:6" ht="15.75" thickBot="1">
      <c r="A80" s="226" t="s">
        <v>50</v>
      </c>
      <c r="B80" s="250"/>
      <c r="C80" s="251">
        <f>SUM(C75:C79)</f>
        <v>4122</v>
      </c>
      <c r="D80" s="251">
        <f>SUM(D75:D79)</f>
        <v>6503</v>
      </c>
      <c r="E80" s="252">
        <f>SUM(E75:E79)</f>
        <v>139</v>
      </c>
      <c r="F80" s="241"/>
    </row>
    <row r="81" spans="1:6">
      <c r="A81" s="238" t="s">
        <v>61</v>
      </c>
      <c r="B81" s="253"/>
      <c r="C81" s="254"/>
      <c r="D81" s="254"/>
      <c r="E81" s="255"/>
      <c r="F81" s="241"/>
    </row>
    <row r="82" spans="1:6">
      <c r="A82" s="226" t="s">
        <v>50</v>
      </c>
      <c r="B82" s="243"/>
      <c r="C82" s="243"/>
      <c r="D82" s="243"/>
      <c r="E82" s="256"/>
      <c r="F82" s="241"/>
    </row>
    <row r="83" spans="1:6">
      <c r="A83" s="357" t="s">
        <v>62</v>
      </c>
      <c r="B83" s="257"/>
      <c r="C83" s="257"/>
      <c r="D83" s="257"/>
      <c r="E83" s="258"/>
      <c r="F83" s="241"/>
    </row>
    <row r="84" spans="1:6">
      <c r="A84" s="358"/>
      <c r="B84" s="257"/>
      <c r="C84" s="257"/>
      <c r="D84" s="257"/>
      <c r="E84" s="258"/>
      <c r="F84" s="241"/>
    </row>
    <row r="85" spans="1:6">
      <c r="A85" s="358"/>
      <c r="B85" s="257"/>
      <c r="C85" s="257"/>
      <c r="D85" s="257"/>
      <c r="E85" s="258"/>
      <c r="F85" s="259"/>
    </row>
    <row r="86" spans="1:6">
      <c r="A86" s="358"/>
      <c r="B86" s="257"/>
      <c r="C86" s="257"/>
      <c r="D86" s="257"/>
      <c r="E86" s="258"/>
      <c r="F86" s="241"/>
    </row>
    <row r="87" spans="1:6">
      <c r="A87" s="359"/>
      <c r="B87" s="257"/>
      <c r="C87" s="257"/>
      <c r="D87" s="257"/>
      <c r="E87" s="258"/>
      <c r="F87" s="241"/>
    </row>
    <row r="88" spans="1:6">
      <c r="A88" s="226" t="s">
        <v>50</v>
      </c>
      <c r="B88" s="243"/>
      <c r="C88" s="243"/>
      <c r="D88" s="243"/>
      <c r="E88" s="256"/>
      <c r="F88" s="241"/>
    </row>
    <row r="89" spans="1:6">
      <c r="A89" s="238" t="s">
        <v>69</v>
      </c>
      <c r="B89" s="260"/>
      <c r="C89" s="253"/>
      <c r="D89" s="253"/>
      <c r="E89" s="258"/>
      <c r="F89" s="241"/>
    </row>
    <row r="90" spans="1:6">
      <c r="A90" s="191" t="s">
        <v>50</v>
      </c>
      <c r="B90" s="243"/>
      <c r="C90" s="243"/>
      <c r="D90" s="243"/>
      <c r="E90" s="256"/>
      <c r="F90" s="241"/>
    </row>
    <row r="91" spans="1:6">
      <c r="A91" s="360"/>
      <c r="B91" s="360"/>
      <c r="C91" s="360"/>
      <c r="D91" s="360"/>
      <c r="E91" s="360"/>
      <c r="F91" s="360"/>
    </row>
    <row r="92" spans="1:6" ht="38.25">
      <c r="A92" s="191" t="s">
        <v>520</v>
      </c>
      <c r="B92" s="243"/>
      <c r="C92" s="261">
        <f>+C80+C74+C70+C66</f>
        <v>26429.170000000006</v>
      </c>
      <c r="D92" s="262">
        <f>+D80+D70+D66+D74</f>
        <v>8607.1</v>
      </c>
      <c r="E92" s="256">
        <f>+E80+E74+E70+E66</f>
        <v>293</v>
      </c>
      <c r="F92" s="241"/>
    </row>
    <row r="93" spans="1:6">
      <c r="A93" s="263"/>
      <c r="B93" s="263"/>
      <c r="C93" s="263"/>
      <c r="D93" s="263"/>
      <c r="E93" s="263"/>
      <c r="F93" s="263"/>
    </row>
    <row r="94" spans="1:6">
      <c r="A94" s="263"/>
      <c r="B94" s="263"/>
      <c r="C94" s="263"/>
      <c r="D94" s="263"/>
      <c r="E94" s="263"/>
      <c r="F94" s="263"/>
    </row>
    <row r="95" spans="1:6">
      <c r="A95" s="264"/>
      <c r="B95" s="264"/>
      <c r="C95" s="265"/>
      <c r="D95" s="264"/>
      <c r="E95" s="264"/>
      <c r="F95" s="263"/>
    </row>
    <row r="96" spans="1:6">
      <c r="A96" s="266" t="s">
        <v>523</v>
      </c>
      <c r="B96" s="267"/>
      <c r="C96" s="268"/>
      <c r="D96" s="263"/>
      <c r="E96" s="263"/>
      <c r="F96" s="263"/>
    </row>
    <row r="97" spans="1:6">
      <c r="A97" s="266"/>
      <c r="B97" s="267"/>
      <c r="C97" s="268"/>
      <c r="D97" s="263"/>
      <c r="E97" s="263"/>
      <c r="F97" s="263"/>
    </row>
    <row r="98" spans="1:6">
      <c r="A98" s="350"/>
      <c r="B98" s="350"/>
      <c r="C98" s="350"/>
      <c r="D98" s="263"/>
      <c r="E98" s="263"/>
      <c r="F98" s="263"/>
    </row>
    <row r="99" spans="1:6">
      <c r="A99" s="267" t="s">
        <v>521</v>
      </c>
      <c r="B99" s="267"/>
      <c r="C99" s="268"/>
      <c r="D99" s="263"/>
      <c r="E99" s="263"/>
      <c r="F99" s="263"/>
    </row>
    <row r="100" spans="1:6">
      <c r="A100" s="267" t="s">
        <v>522</v>
      </c>
      <c r="B100" s="267"/>
      <c r="C100" s="268"/>
      <c r="D100" s="263"/>
      <c r="E100" s="263"/>
      <c r="F100" s="263"/>
    </row>
    <row r="101" spans="1:6">
      <c r="A101" s="267" t="s">
        <v>129</v>
      </c>
      <c r="B101" s="267"/>
      <c r="C101" s="268"/>
      <c r="D101" s="263"/>
      <c r="E101" s="263"/>
      <c r="F101" s="263"/>
    </row>
    <row r="102" spans="1:6">
      <c r="A102" s="263"/>
      <c r="B102" s="263"/>
      <c r="C102" s="269"/>
      <c r="D102" s="263"/>
      <c r="E102" s="263"/>
      <c r="F102" s="263"/>
    </row>
    <row r="103" spans="1:6">
      <c r="A103" t="s">
        <v>130</v>
      </c>
      <c r="B103" s="263"/>
      <c r="C103" s="269"/>
      <c r="D103" s="263"/>
      <c r="E103" s="263"/>
      <c r="F103" s="263"/>
    </row>
    <row r="104" spans="1:6">
      <c r="A104" s="263"/>
      <c r="B104" s="263"/>
      <c r="C104" s="263"/>
      <c r="D104" s="263"/>
      <c r="E104" s="263"/>
      <c r="F104" s="263"/>
    </row>
    <row r="105" spans="1:6">
      <c r="A105" s="263"/>
      <c r="B105" s="263"/>
      <c r="C105" s="273"/>
      <c r="D105" s="274"/>
      <c r="E105" s="274"/>
      <c r="F105" s="275"/>
    </row>
    <row r="106" spans="1:6">
      <c r="A106" s="263"/>
      <c r="B106" s="263"/>
      <c r="C106" s="270"/>
      <c r="D106" s="271"/>
      <c r="E106" s="271"/>
      <c r="F106" s="272"/>
    </row>
    <row r="107" spans="1:6">
      <c r="A107" s="263"/>
      <c r="B107" s="263"/>
      <c r="C107" s="270"/>
      <c r="D107" s="271"/>
      <c r="E107" s="271"/>
      <c r="F107" s="272"/>
    </row>
    <row r="108" spans="1:6">
      <c r="A108" s="263"/>
      <c r="B108" s="263"/>
      <c r="C108" s="270"/>
      <c r="D108" s="271"/>
      <c r="E108" s="271"/>
      <c r="F108" s="272"/>
    </row>
  </sheetData>
  <mergeCells count="47">
    <mergeCell ref="A4:F4"/>
    <mergeCell ref="A5:F5"/>
    <mergeCell ref="A6:F6"/>
    <mergeCell ref="A8:A65"/>
    <mergeCell ref="B8:B9"/>
    <mergeCell ref="C8:C9"/>
    <mergeCell ref="B10:B13"/>
    <mergeCell ref="C10:C13"/>
    <mergeCell ref="B14:B15"/>
    <mergeCell ref="C14:C15"/>
    <mergeCell ref="B16:B19"/>
    <mergeCell ref="C16:C19"/>
    <mergeCell ref="B20:B21"/>
    <mergeCell ref="C20:C21"/>
    <mergeCell ref="B23:B26"/>
    <mergeCell ref="C23:C26"/>
    <mergeCell ref="B27:B29"/>
    <mergeCell ref="C27:C29"/>
    <mergeCell ref="B30:B31"/>
    <mergeCell ref="C30:C31"/>
    <mergeCell ref="B32:B34"/>
    <mergeCell ref="C32:C34"/>
    <mergeCell ref="B35:B36"/>
    <mergeCell ref="C35:C36"/>
    <mergeCell ref="B37:B38"/>
    <mergeCell ref="C37:C38"/>
    <mergeCell ref="B39:B42"/>
    <mergeCell ref="C39:C42"/>
    <mergeCell ref="B43:B47"/>
    <mergeCell ref="C43:C47"/>
    <mergeCell ref="B48:B49"/>
    <mergeCell ref="C48:C49"/>
    <mergeCell ref="B50:B52"/>
    <mergeCell ref="C50:C52"/>
    <mergeCell ref="B53:B56"/>
    <mergeCell ref="C53:C56"/>
    <mergeCell ref="B57:B58"/>
    <mergeCell ref="C57:C58"/>
    <mergeCell ref="B59:B63"/>
    <mergeCell ref="C59:C63"/>
    <mergeCell ref="A98:C98"/>
    <mergeCell ref="B64:B65"/>
    <mergeCell ref="C64:C65"/>
    <mergeCell ref="A67:A69"/>
    <mergeCell ref="A71:F71"/>
    <mergeCell ref="A83:A87"/>
    <mergeCell ref="A91:F91"/>
  </mergeCells>
  <pageMargins left="0.7" right="0.7" top="0.75" bottom="0.75" header="0.3" footer="0.3"/>
  <ignoredErrors>
    <ignoredError sqref="D9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18"/>
  <sheetViews>
    <sheetView topLeftCell="A104" workbookViewId="0">
      <selection activeCell="B120" sqref="B120"/>
    </sheetView>
  </sheetViews>
  <sheetFormatPr defaultColWidth="9.140625" defaultRowHeight="15"/>
  <cols>
    <col min="1" max="1" width="3.42578125" style="394" customWidth="1"/>
    <col min="2" max="2" width="24" style="394" customWidth="1"/>
    <col min="3" max="3" width="33.85546875" style="394" customWidth="1"/>
    <col min="4" max="4" width="16.7109375" style="394" customWidth="1"/>
    <col min="5" max="5" width="18.28515625" style="394" customWidth="1"/>
    <col min="6" max="6" width="11.28515625" style="394" customWidth="1"/>
    <col min="7" max="7" width="29.140625" style="394" customWidth="1"/>
    <col min="8" max="1024" width="9.140625" style="394"/>
    <col min="1025" max="16384" width="9.140625" style="188"/>
  </cols>
  <sheetData>
    <row r="1" spans="2:7" ht="30" customHeight="1">
      <c r="B1" s="395" t="s">
        <v>0</v>
      </c>
    </row>
    <row r="2" spans="2:7" ht="25.5" customHeight="1">
      <c r="B2" s="395" t="s">
        <v>71</v>
      </c>
      <c r="D2" s="396"/>
      <c r="E2" s="396"/>
    </row>
    <row r="3" spans="2:7" ht="12.75" customHeight="1">
      <c r="B3" s="395"/>
      <c r="D3" s="396"/>
      <c r="E3" s="396"/>
    </row>
    <row r="4" spans="2:7" ht="32.25" customHeight="1">
      <c r="B4" s="397" t="s">
        <v>487</v>
      </c>
      <c r="C4" s="397"/>
      <c r="D4" s="397"/>
      <c r="E4" s="397"/>
      <c r="F4" s="397"/>
      <c r="G4" s="397"/>
    </row>
    <row r="5" spans="2:7" ht="31.5" customHeight="1">
      <c r="B5" s="342" t="s">
        <v>524</v>
      </c>
      <c r="C5" s="342"/>
      <c r="D5" s="342"/>
      <c r="E5" s="342"/>
      <c r="F5" s="342"/>
      <c r="G5" s="342"/>
    </row>
    <row r="6" spans="2:7" ht="26.25" customHeight="1">
      <c r="B6" s="398" t="s">
        <v>2</v>
      </c>
      <c r="C6" s="398"/>
      <c r="D6" s="398"/>
      <c r="E6" s="398"/>
      <c r="F6" s="398"/>
      <c r="G6" s="398"/>
    </row>
    <row r="7" spans="2:7" ht="97.5" customHeight="1">
      <c r="B7" s="399" t="s">
        <v>3</v>
      </c>
      <c r="C7" s="23" t="s">
        <v>4</v>
      </c>
      <c r="D7" s="23" t="s">
        <v>5</v>
      </c>
      <c r="E7" s="23" t="s">
        <v>6</v>
      </c>
      <c r="F7" s="23" t="s">
        <v>7</v>
      </c>
      <c r="G7" s="23" t="s">
        <v>8</v>
      </c>
    </row>
    <row r="8" spans="2:7" ht="31.5" customHeight="1">
      <c r="B8" s="400" t="s">
        <v>9</v>
      </c>
      <c r="C8" s="401" t="s">
        <v>525</v>
      </c>
      <c r="D8" s="402">
        <v>554.63</v>
      </c>
      <c r="E8" s="435">
        <v>5.93</v>
      </c>
      <c r="F8" s="404">
        <v>7</v>
      </c>
      <c r="G8" s="6"/>
    </row>
    <row r="9" spans="2:7" ht="31.5" customHeight="1">
      <c r="B9" s="400"/>
      <c r="C9" s="401" t="s">
        <v>526</v>
      </c>
      <c r="D9" s="402">
        <v>65.900000000000006</v>
      </c>
      <c r="E9" s="435">
        <v>3.39</v>
      </c>
      <c r="F9" s="404">
        <v>2</v>
      </c>
      <c r="G9" s="6"/>
    </row>
    <row r="10" spans="2:7" ht="31.5" customHeight="1">
      <c r="B10" s="400"/>
      <c r="C10" s="405" t="s">
        <v>527</v>
      </c>
      <c r="D10" s="402">
        <v>510.04</v>
      </c>
      <c r="E10" s="435">
        <v>5.93</v>
      </c>
      <c r="F10" s="404">
        <v>8</v>
      </c>
      <c r="G10" s="6"/>
    </row>
    <row r="11" spans="2:7" ht="31.5" customHeight="1">
      <c r="B11" s="400"/>
      <c r="C11" s="405" t="s">
        <v>528</v>
      </c>
      <c r="D11" s="402">
        <v>0</v>
      </c>
      <c r="E11" s="435">
        <v>3.39</v>
      </c>
      <c r="F11" s="404">
        <v>0</v>
      </c>
      <c r="G11" s="430" t="s">
        <v>126</v>
      </c>
    </row>
    <row r="12" spans="2:7" ht="31.5" customHeight="1">
      <c r="B12" s="400"/>
      <c r="C12" s="401" t="s">
        <v>529</v>
      </c>
      <c r="D12" s="406">
        <v>1487.21</v>
      </c>
      <c r="E12" s="435">
        <v>5.93</v>
      </c>
      <c r="F12" s="153">
        <v>12</v>
      </c>
      <c r="G12" s="6"/>
    </row>
    <row r="13" spans="2:7" ht="31.5" customHeight="1">
      <c r="B13" s="400"/>
      <c r="C13" s="401" t="s">
        <v>530</v>
      </c>
      <c r="D13" s="402">
        <v>0</v>
      </c>
      <c r="E13" s="435">
        <v>3.39</v>
      </c>
      <c r="F13" s="153">
        <v>0</v>
      </c>
      <c r="G13" s="430" t="s">
        <v>126</v>
      </c>
    </row>
    <row r="14" spans="2:7" ht="31.5" customHeight="1">
      <c r="B14" s="400"/>
      <c r="C14" s="401" t="s">
        <v>531</v>
      </c>
      <c r="D14" s="402">
        <v>1409.03</v>
      </c>
      <c r="E14" s="435">
        <v>5.93</v>
      </c>
      <c r="F14" s="404">
        <v>13</v>
      </c>
      <c r="G14" s="6"/>
    </row>
    <row r="15" spans="2:7" ht="31.5" customHeight="1">
      <c r="B15" s="400"/>
      <c r="C15" s="401" t="s">
        <v>532</v>
      </c>
      <c r="D15" s="402">
        <v>114.92</v>
      </c>
      <c r="E15" s="435">
        <v>3.39</v>
      </c>
      <c r="F15" s="404">
        <v>2</v>
      </c>
      <c r="G15" s="6"/>
    </row>
    <row r="16" spans="2:7" ht="31.5" customHeight="1">
      <c r="B16" s="400"/>
      <c r="C16" s="401" t="s">
        <v>533</v>
      </c>
      <c r="D16" s="402">
        <v>1129.52</v>
      </c>
      <c r="E16" s="435">
        <v>5.93</v>
      </c>
      <c r="F16" s="404">
        <v>6</v>
      </c>
      <c r="G16" s="6"/>
    </row>
    <row r="17" spans="2:7" ht="31.5" customHeight="1">
      <c r="B17" s="400"/>
      <c r="C17" s="401" t="s">
        <v>534</v>
      </c>
      <c r="D17" s="402">
        <v>343.85</v>
      </c>
      <c r="E17" s="435">
        <v>3.39</v>
      </c>
      <c r="F17" s="404">
        <v>10</v>
      </c>
      <c r="G17" s="6"/>
    </row>
    <row r="18" spans="2:7" ht="31.5" customHeight="1">
      <c r="B18" s="400"/>
      <c r="C18" s="401" t="s">
        <v>535</v>
      </c>
      <c r="D18" s="402">
        <v>1249.9000000000001</v>
      </c>
      <c r="E18" s="435">
        <v>5.93</v>
      </c>
      <c r="F18" s="404">
        <v>11</v>
      </c>
      <c r="G18" s="6"/>
    </row>
    <row r="19" spans="2:7" ht="36" customHeight="1">
      <c r="B19" s="400"/>
      <c r="C19" s="401" t="s">
        <v>536</v>
      </c>
      <c r="D19" s="402">
        <v>152.91</v>
      </c>
      <c r="E19" s="435">
        <v>3.39</v>
      </c>
      <c r="F19" s="404">
        <v>7</v>
      </c>
      <c r="G19" s="6"/>
    </row>
    <row r="20" spans="2:7" ht="48.75" customHeight="1">
      <c r="B20" s="400"/>
      <c r="C20" s="401" t="s">
        <v>537</v>
      </c>
      <c r="D20" s="402">
        <v>544.37</v>
      </c>
      <c r="E20" s="435">
        <v>5.93</v>
      </c>
      <c r="F20" s="404">
        <v>2</v>
      </c>
      <c r="G20" s="6"/>
    </row>
    <row r="21" spans="2:7" ht="51.75" customHeight="1">
      <c r="B21" s="400"/>
      <c r="C21" s="401" t="s">
        <v>538</v>
      </c>
      <c r="D21" s="402">
        <v>456.68</v>
      </c>
      <c r="E21" s="435">
        <v>5.93</v>
      </c>
      <c r="F21" s="404">
        <v>2</v>
      </c>
      <c r="G21" s="6"/>
    </row>
    <row r="22" spans="2:7" ht="39" customHeight="1">
      <c r="B22" s="400"/>
      <c r="C22" s="401" t="s">
        <v>539</v>
      </c>
      <c r="D22" s="402">
        <v>1998.28</v>
      </c>
      <c r="E22" s="435">
        <v>5.93</v>
      </c>
      <c r="F22" s="404">
        <v>5</v>
      </c>
      <c r="G22" s="6"/>
    </row>
    <row r="23" spans="2:7" ht="31.5" customHeight="1">
      <c r="B23" s="400"/>
      <c r="C23" s="401" t="s">
        <v>540</v>
      </c>
      <c r="D23" s="402">
        <v>0</v>
      </c>
      <c r="E23" s="435">
        <v>3.39</v>
      </c>
      <c r="F23" s="404">
        <v>0</v>
      </c>
      <c r="G23" s="430" t="s">
        <v>126</v>
      </c>
    </row>
    <row r="24" spans="2:7" ht="31.5" customHeight="1">
      <c r="B24" s="400"/>
      <c r="C24" s="401" t="s">
        <v>541</v>
      </c>
      <c r="D24" s="402">
        <v>983.39</v>
      </c>
      <c r="E24" s="435">
        <v>5.93</v>
      </c>
      <c r="F24" s="404">
        <v>3</v>
      </c>
      <c r="G24" s="6"/>
    </row>
    <row r="25" spans="2:7" ht="31.5" customHeight="1">
      <c r="B25" s="400"/>
      <c r="C25" s="401" t="s">
        <v>542</v>
      </c>
      <c r="D25" s="402">
        <v>0</v>
      </c>
      <c r="E25" s="435">
        <v>3.39</v>
      </c>
      <c r="F25" s="404">
        <v>0</v>
      </c>
      <c r="G25" s="430" t="s">
        <v>126</v>
      </c>
    </row>
    <row r="26" spans="2:7" ht="31.5" customHeight="1">
      <c r="B26" s="400"/>
      <c r="C26" s="401" t="s">
        <v>543</v>
      </c>
      <c r="D26" s="402">
        <v>1869.98</v>
      </c>
      <c r="E26" s="435">
        <v>5.93</v>
      </c>
      <c r="F26" s="404">
        <v>6</v>
      </c>
      <c r="G26" s="6"/>
    </row>
    <row r="27" spans="2:7" ht="31.5" customHeight="1">
      <c r="B27" s="400"/>
      <c r="C27" s="401" t="s">
        <v>544</v>
      </c>
      <c r="D27" s="402">
        <v>580.91</v>
      </c>
      <c r="E27" s="435">
        <v>3.39</v>
      </c>
      <c r="F27" s="404">
        <v>2</v>
      </c>
      <c r="G27" s="6"/>
    </row>
    <row r="28" spans="2:7" ht="31.5" customHeight="1">
      <c r="B28" s="400"/>
      <c r="C28" s="401" t="s">
        <v>545</v>
      </c>
      <c r="D28" s="402">
        <v>602.73</v>
      </c>
      <c r="E28" s="435">
        <v>5.93</v>
      </c>
      <c r="F28" s="404">
        <v>8</v>
      </c>
      <c r="G28" s="6"/>
    </row>
    <row r="29" spans="2:7" ht="31.5" customHeight="1">
      <c r="B29" s="400"/>
      <c r="C29" s="401" t="s">
        <v>546</v>
      </c>
      <c r="D29" s="402">
        <v>179.4</v>
      </c>
      <c r="E29" s="435">
        <v>3.39</v>
      </c>
      <c r="F29" s="404">
        <v>3</v>
      </c>
      <c r="G29" s="6"/>
    </row>
    <row r="30" spans="2:7" ht="31.5" customHeight="1">
      <c r="B30" s="400"/>
      <c r="C30" s="401" t="s">
        <v>547</v>
      </c>
      <c r="D30" s="402">
        <v>715.87</v>
      </c>
      <c r="E30" s="435">
        <v>5.93</v>
      </c>
      <c r="F30" s="404">
        <v>4</v>
      </c>
      <c r="G30" s="6"/>
    </row>
    <row r="31" spans="2:7" ht="31.5" customHeight="1">
      <c r="B31" s="400"/>
      <c r="C31" s="401" t="s">
        <v>548</v>
      </c>
      <c r="D31" s="402">
        <v>0</v>
      </c>
      <c r="E31" s="435">
        <v>3.39</v>
      </c>
      <c r="F31" s="404">
        <v>0</v>
      </c>
      <c r="G31" s="430" t="s">
        <v>126</v>
      </c>
    </row>
    <row r="32" spans="2:7" ht="31.5" customHeight="1">
      <c r="B32" s="400"/>
      <c r="C32" s="401" t="s">
        <v>549</v>
      </c>
      <c r="D32" s="402">
        <v>94.82</v>
      </c>
      <c r="E32" s="435">
        <v>5.93</v>
      </c>
      <c r="F32" s="404">
        <v>3</v>
      </c>
      <c r="G32" s="6"/>
    </row>
    <row r="33" spans="2:16" ht="31.5" customHeight="1">
      <c r="B33" s="400"/>
      <c r="C33" s="401" t="s">
        <v>550</v>
      </c>
      <c r="D33" s="402">
        <v>14.95</v>
      </c>
      <c r="E33" s="435">
        <v>3.39</v>
      </c>
      <c r="F33" s="404">
        <v>2</v>
      </c>
      <c r="G33" s="6"/>
    </row>
    <row r="34" spans="2:16" ht="31.5" customHeight="1">
      <c r="B34" s="400"/>
      <c r="C34" s="401" t="s">
        <v>551</v>
      </c>
      <c r="D34" s="402">
        <v>269.95999999999998</v>
      </c>
      <c r="E34" s="435">
        <v>5.93</v>
      </c>
      <c r="F34" s="404">
        <v>6</v>
      </c>
      <c r="G34" s="6"/>
    </row>
    <row r="35" spans="2:16" ht="31.5" customHeight="1">
      <c r="B35" s="400"/>
      <c r="C35" s="401" t="s">
        <v>552</v>
      </c>
      <c r="D35" s="402">
        <v>51.26</v>
      </c>
      <c r="E35" s="435">
        <v>3.39</v>
      </c>
      <c r="F35" s="404">
        <v>2</v>
      </c>
      <c r="G35" s="6"/>
    </row>
    <row r="36" spans="2:16" ht="31.5" customHeight="1">
      <c r="B36" s="400"/>
      <c r="C36" s="401" t="s">
        <v>553</v>
      </c>
      <c r="D36" s="402">
        <v>1110.6300000000001</v>
      </c>
      <c r="E36" s="435">
        <v>5.93</v>
      </c>
      <c r="F36" s="404">
        <v>4</v>
      </c>
      <c r="G36" s="6"/>
    </row>
    <row r="37" spans="2:16" ht="31.5" customHeight="1">
      <c r="B37" s="400"/>
      <c r="C37" s="401" t="s">
        <v>554</v>
      </c>
      <c r="D37" s="402">
        <v>0</v>
      </c>
      <c r="E37" s="435">
        <v>3.39</v>
      </c>
      <c r="F37" s="404">
        <v>0</v>
      </c>
      <c r="G37" s="430" t="s">
        <v>126</v>
      </c>
    </row>
    <row r="38" spans="2:16" ht="42" customHeight="1">
      <c r="B38" s="400"/>
      <c r="C38" s="401" t="s">
        <v>555</v>
      </c>
      <c r="D38" s="402">
        <v>854.12</v>
      </c>
      <c r="E38" s="435">
        <v>5.93</v>
      </c>
      <c r="F38" s="404">
        <v>6</v>
      </c>
      <c r="G38" s="6"/>
    </row>
    <row r="39" spans="2:16" ht="31.5" customHeight="1">
      <c r="B39" s="400"/>
      <c r="C39" s="401" t="s">
        <v>556</v>
      </c>
      <c r="D39" s="402">
        <v>0</v>
      </c>
      <c r="E39" s="435">
        <v>3.39</v>
      </c>
      <c r="F39" s="404">
        <v>0</v>
      </c>
      <c r="G39" s="430" t="s">
        <v>126</v>
      </c>
    </row>
    <row r="40" spans="2:16" ht="31.5" customHeight="1">
      <c r="B40" s="400"/>
      <c r="C40" s="401" t="s">
        <v>557</v>
      </c>
      <c r="D40" s="402">
        <v>882.75</v>
      </c>
      <c r="E40" s="435">
        <v>5.93</v>
      </c>
      <c r="F40" s="404">
        <v>7</v>
      </c>
      <c r="G40" s="6"/>
    </row>
    <row r="41" spans="2:16" ht="31.5" customHeight="1">
      <c r="B41" s="400"/>
      <c r="C41" s="401" t="s">
        <v>558</v>
      </c>
      <c r="D41" s="402">
        <v>0</v>
      </c>
      <c r="E41" s="435">
        <v>3.39</v>
      </c>
      <c r="F41" s="404">
        <v>0</v>
      </c>
      <c r="G41" s="430" t="s">
        <v>126</v>
      </c>
    </row>
    <row r="42" spans="2:16" ht="31.5" customHeight="1">
      <c r="B42" s="400"/>
      <c r="C42" s="401" t="s">
        <v>559</v>
      </c>
      <c r="D42" s="402">
        <v>955.51</v>
      </c>
      <c r="E42" s="435">
        <v>5.93</v>
      </c>
      <c r="F42" s="404">
        <v>5</v>
      </c>
      <c r="G42" s="6"/>
    </row>
    <row r="43" spans="2:16" ht="31.5" customHeight="1">
      <c r="B43" s="400"/>
      <c r="C43" s="401" t="s">
        <v>560</v>
      </c>
      <c r="D43" s="402">
        <v>0</v>
      </c>
      <c r="E43" s="435">
        <v>3.39</v>
      </c>
      <c r="F43" s="404">
        <v>0</v>
      </c>
      <c r="G43" s="430" t="s">
        <v>126</v>
      </c>
    </row>
    <row r="44" spans="2:16" ht="31.5" customHeight="1">
      <c r="B44" s="400"/>
      <c r="C44" s="401" t="s">
        <v>561</v>
      </c>
      <c r="D44" s="402">
        <v>686.74</v>
      </c>
      <c r="E44" s="435">
        <v>5.93</v>
      </c>
      <c r="F44" s="404">
        <v>9</v>
      </c>
      <c r="G44" s="6"/>
      <c r="P44" s="407"/>
    </row>
    <row r="45" spans="2:16" ht="31.5" customHeight="1">
      <c r="B45" s="400"/>
      <c r="C45" s="401" t="s">
        <v>562</v>
      </c>
      <c r="D45" s="402">
        <v>32.950000000000003</v>
      </c>
      <c r="E45" s="435">
        <v>3.39</v>
      </c>
      <c r="F45" s="404">
        <v>1</v>
      </c>
      <c r="G45" s="6"/>
      <c r="P45" s="407"/>
    </row>
    <row r="46" spans="2:16" ht="31.5" customHeight="1">
      <c r="B46" s="400"/>
      <c r="C46" s="401" t="s">
        <v>563</v>
      </c>
      <c r="D46" s="402">
        <v>266.77</v>
      </c>
      <c r="E46" s="435">
        <v>5.93</v>
      </c>
      <c r="F46" s="404">
        <v>4</v>
      </c>
      <c r="G46" s="6"/>
      <c r="P46" s="407"/>
    </row>
    <row r="47" spans="2:16" ht="31.5" customHeight="1">
      <c r="B47" s="400"/>
      <c r="C47" s="401" t="s">
        <v>564</v>
      </c>
      <c r="D47" s="402">
        <v>0</v>
      </c>
      <c r="E47" s="435">
        <v>3.39</v>
      </c>
      <c r="F47" s="401">
        <v>0</v>
      </c>
      <c r="G47" s="430" t="s">
        <v>126</v>
      </c>
    </row>
    <row r="48" spans="2:16" ht="31.5" customHeight="1">
      <c r="B48" s="400"/>
      <c r="C48" s="401" t="s">
        <v>565</v>
      </c>
      <c r="D48" s="402">
        <v>158.75</v>
      </c>
      <c r="E48" s="435">
        <v>5.93</v>
      </c>
      <c r="F48" s="401">
        <v>5</v>
      </c>
      <c r="G48" s="11"/>
    </row>
    <row r="49" spans="2:7" ht="31.5" customHeight="1">
      <c r="B49" s="400"/>
      <c r="C49" s="401" t="s">
        <v>566</v>
      </c>
      <c r="D49" s="402">
        <v>53.9</v>
      </c>
      <c r="E49" s="435">
        <v>3.39</v>
      </c>
      <c r="F49" s="401">
        <v>4</v>
      </c>
      <c r="G49" s="11"/>
    </row>
    <row r="50" spans="2:7" ht="31.5" customHeight="1">
      <c r="B50" s="400"/>
      <c r="C50" s="401" t="s">
        <v>567</v>
      </c>
      <c r="D50" s="402">
        <v>342.43</v>
      </c>
      <c r="E50" s="435">
        <v>5.93</v>
      </c>
      <c r="F50" s="401">
        <v>7</v>
      </c>
      <c r="G50" s="11"/>
    </row>
    <row r="51" spans="2:7" ht="31.5" customHeight="1">
      <c r="B51" s="400"/>
      <c r="C51" s="401" t="s">
        <v>568</v>
      </c>
      <c r="D51" s="402">
        <v>185.09</v>
      </c>
      <c r="E51" s="435">
        <v>3.39</v>
      </c>
      <c r="F51" s="401">
        <v>1</v>
      </c>
      <c r="G51" s="11"/>
    </row>
    <row r="52" spans="2:7" ht="31.5" customHeight="1">
      <c r="B52" s="400"/>
      <c r="C52" s="401" t="s">
        <v>569</v>
      </c>
      <c r="D52" s="402">
        <v>412.2</v>
      </c>
      <c r="E52" s="435">
        <v>5.93</v>
      </c>
      <c r="F52" s="401">
        <v>5</v>
      </c>
      <c r="G52" s="11"/>
    </row>
    <row r="53" spans="2:7" ht="31.5" customHeight="1">
      <c r="B53" s="400"/>
      <c r="C53" s="401" t="s">
        <v>570</v>
      </c>
      <c r="D53" s="402">
        <v>321.37</v>
      </c>
      <c r="E53" s="435">
        <v>3.39</v>
      </c>
      <c r="F53" s="401">
        <v>3</v>
      </c>
      <c r="G53" s="11"/>
    </row>
    <row r="54" spans="2:7" ht="31.5" customHeight="1">
      <c r="B54" s="400"/>
      <c r="C54" s="401" t="s">
        <v>571</v>
      </c>
      <c r="D54" s="402">
        <v>245.51</v>
      </c>
      <c r="E54" s="435">
        <v>8.4700000000000006</v>
      </c>
      <c r="F54" s="401">
        <v>2</v>
      </c>
      <c r="G54" s="11"/>
    </row>
    <row r="55" spans="2:7" ht="89.25">
      <c r="B55" s="431" t="s">
        <v>50</v>
      </c>
      <c r="C55" s="431"/>
      <c r="D55" s="432">
        <f>SUM(D8:D54)</f>
        <v>21889.23</v>
      </c>
      <c r="E55" s="436">
        <f>SUM(E8:E54)</f>
        <v>225.36999999999989</v>
      </c>
      <c r="F55" s="433">
        <f>SUM(F8:F54)</f>
        <v>189</v>
      </c>
      <c r="G55" s="434" t="s">
        <v>572</v>
      </c>
    </row>
    <row r="56" spans="2:7" ht="37.5" customHeight="1">
      <c r="B56" s="408"/>
      <c r="C56" s="401" t="s">
        <v>573</v>
      </c>
      <c r="D56" s="437">
        <v>0</v>
      </c>
      <c r="E56" s="435">
        <v>0</v>
      </c>
      <c r="F56" s="438">
        <v>25</v>
      </c>
      <c r="G56" s="409" t="s">
        <v>301</v>
      </c>
    </row>
    <row r="57" spans="2:7" ht="63.75">
      <c r="B57" s="408"/>
      <c r="C57" s="401" t="s">
        <v>574</v>
      </c>
      <c r="D57" s="410">
        <v>0</v>
      </c>
      <c r="E57" s="435">
        <v>1.22</v>
      </c>
      <c r="F57" s="438">
        <v>0</v>
      </c>
      <c r="G57" s="409" t="s">
        <v>575</v>
      </c>
    </row>
    <row r="58" spans="2:7" ht="63.75">
      <c r="B58" s="408"/>
      <c r="C58" s="401" t="s">
        <v>576</v>
      </c>
      <c r="D58" s="410">
        <v>778.42</v>
      </c>
      <c r="E58" s="435">
        <v>4.96</v>
      </c>
      <c r="F58" s="438">
        <v>7</v>
      </c>
      <c r="G58" s="409" t="s">
        <v>577</v>
      </c>
    </row>
    <row r="59" spans="2:7" ht="39.75" customHeight="1">
      <c r="B59" s="408"/>
      <c r="C59" s="401" t="s">
        <v>578</v>
      </c>
      <c r="D59" s="437">
        <v>0</v>
      </c>
      <c r="E59" s="435">
        <v>0</v>
      </c>
      <c r="F59" s="438">
        <v>0</v>
      </c>
      <c r="G59" s="409" t="s">
        <v>301</v>
      </c>
    </row>
    <row r="60" spans="2:7" ht="63.75">
      <c r="B60" s="408"/>
      <c r="C60" s="401" t="s">
        <v>579</v>
      </c>
      <c r="D60" s="437">
        <v>0</v>
      </c>
      <c r="E60" s="435">
        <v>1.22</v>
      </c>
      <c r="F60" s="438">
        <v>0</v>
      </c>
      <c r="G60" s="409" t="s">
        <v>575</v>
      </c>
    </row>
    <row r="61" spans="2:7" ht="43.35" customHeight="1">
      <c r="B61" s="408"/>
      <c r="C61" s="401" t="s">
        <v>580</v>
      </c>
      <c r="D61" s="402">
        <v>37.18</v>
      </c>
      <c r="E61" s="435">
        <v>4.96</v>
      </c>
      <c r="F61" s="438">
        <v>1</v>
      </c>
      <c r="G61" s="409" t="s">
        <v>577</v>
      </c>
    </row>
    <row r="62" spans="2:7" ht="31.9" customHeight="1">
      <c r="B62" s="408"/>
      <c r="C62" s="401" t="s">
        <v>581</v>
      </c>
      <c r="D62" s="437">
        <v>0</v>
      </c>
      <c r="E62" s="435">
        <v>0</v>
      </c>
      <c r="F62" s="438">
        <v>0</v>
      </c>
      <c r="G62" s="409" t="s">
        <v>301</v>
      </c>
    </row>
    <row r="63" spans="2:7" ht="42.2" customHeight="1">
      <c r="B63" s="408"/>
      <c r="C63" s="401" t="s">
        <v>582</v>
      </c>
      <c r="D63" s="437">
        <v>0</v>
      </c>
      <c r="E63" s="435">
        <v>1.22</v>
      </c>
      <c r="F63" s="438">
        <v>0</v>
      </c>
      <c r="G63" s="409" t="s">
        <v>575</v>
      </c>
    </row>
    <row r="64" spans="2:7" ht="44.65" customHeight="1">
      <c r="B64" s="408"/>
      <c r="C64" s="401" t="s">
        <v>583</v>
      </c>
      <c r="D64" s="410">
        <v>54.54</v>
      </c>
      <c r="E64" s="435">
        <v>4.96</v>
      </c>
      <c r="F64" s="438">
        <v>1</v>
      </c>
      <c r="G64" s="409" t="s">
        <v>577</v>
      </c>
    </row>
    <row r="65" spans="2:7" ht="53.25" customHeight="1">
      <c r="B65" s="408"/>
      <c r="C65" s="401" t="s">
        <v>584</v>
      </c>
      <c r="D65" s="402">
        <v>74.36</v>
      </c>
      <c r="E65" s="435">
        <v>4.96</v>
      </c>
      <c r="F65" s="438">
        <v>2</v>
      </c>
      <c r="G65" s="409" t="s">
        <v>577</v>
      </c>
    </row>
    <row r="66" spans="2:7" ht="42.75" customHeight="1">
      <c r="B66" s="408"/>
      <c r="C66" s="401" t="s">
        <v>585</v>
      </c>
      <c r="D66" s="402">
        <v>0</v>
      </c>
      <c r="E66" s="435">
        <v>0</v>
      </c>
      <c r="F66" s="401">
        <v>17</v>
      </c>
      <c r="G66" s="403" t="s">
        <v>301</v>
      </c>
    </row>
    <row r="67" spans="2:7" ht="45">
      <c r="B67" s="408"/>
      <c r="C67" s="401" t="s">
        <v>586</v>
      </c>
      <c r="D67" s="402">
        <v>0</v>
      </c>
      <c r="E67" s="435">
        <v>0.99</v>
      </c>
      <c r="F67" s="401">
        <v>0</v>
      </c>
      <c r="G67" s="409" t="s">
        <v>587</v>
      </c>
    </row>
    <row r="68" spans="2:7" ht="42.75" customHeight="1">
      <c r="B68" s="408"/>
      <c r="C68" s="401" t="s">
        <v>588</v>
      </c>
      <c r="D68" s="402">
        <v>74.37</v>
      </c>
      <c r="E68" s="435">
        <v>3.72</v>
      </c>
      <c r="F68" s="401">
        <v>2</v>
      </c>
      <c r="G68" s="409" t="s">
        <v>589</v>
      </c>
    </row>
    <row r="69" spans="2:7" ht="42.75" customHeight="1">
      <c r="B69" s="408"/>
      <c r="C69" s="401" t="s">
        <v>590</v>
      </c>
      <c r="D69" s="402">
        <v>0</v>
      </c>
      <c r="E69" s="435">
        <v>11.16</v>
      </c>
      <c r="F69" s="401">
        <v>0</v>
      </c>
      <c r="G69" s="409" t="s">
        <v>591</v>
      </c>
    </row>
    <row r="70" spans="2:7" ht="42.75" customHeight="1">
      <c r="B70" s="408"/>
      <c r="C70" s="401" t="s">
        <v>592</v>
      </c>
      <c r="D70" s="402">
        <v>0</v>
      </c>
      <c r="E70" s="435">
        <v>0</v>
      </c>
      <c r="F70" s="401">
        <v>10</v>
      </c>
      <c r="G70" s="403" t="s">
        <v>301</v>
      </c>
    </row>
    <row r="71" spans="2:7" ht="42.75" customHeight="1">
      <c r="B71" s="408"/>
      <c r="C71" s="401" t="s">
        <v>593</v>
      </c>
      <c r="D71" s="402">
        <v>0</v>
      </c>
      <c r="E71" s="435">
        <v>0.68</v>
      </c>
      <c r="F71" s="401">
        <v>0</v>
      </c>
      <c r="G71" s="409" t="s">
        <v>594</v>
      </c>
    </row>
    <row r="72" spans="2:7" ht="42.75" customHeight="1">
      <c r="B72" s="408"/>
      <c r="C72" s="401" t="s">
        <v>595</v>
      </c>
      <c r="D72" s="402">
        <v>0</v>
      </c>
      <c r="E72" s="435">
        <v>2.48</v>
      </c>
      <c r="F72" s="401">
        <v>0</v>
      </c>
      <c r="G72" s="409" t="s">
        <v>596</v>
      </c>
    </row>
    <row r="73" spans="2:7" ht="42.75" customHeight="1">
      <c r="B73" s="408"/>
      <c r="C73" s="401" t="s">
        <v>597</v>
      </c>
      <c r="D73" s="402">
        <v>0</v>
      </c>
      <c r="E73" s="435">
        <v>7.44</v>
      </c>
      <c r="F73" s="401">
        <v>0</v>
      </c>
      <c r="G73" s="409" t="s">
        <v>598</v>
      </c>
    </row>
    <row r="74" spans="2:7" ht="42.75" customHeight="1">
      <c r="B74" s="408"/>
      <c r="C74" s="401" t="s">
        <v>599</v>
      </c>
      <c r="D74" s="402">
        <v>0</v>
      </c>
      <c r="E74" s="435">
        <v>0</v>
      </c>
      <c r="F74" s="401">
        <v>10</v>
      </c>
      <c r="G74" s="403" t="s">
        <v>301</v>
      </c>
    </row>
    <row r="75" spans="2:7" ht="42.75" customHeight="1">
      <c r="B75" s="408"/>
      <c r="C75" s="401" t="s">
        <v>600</v>
      </c>
      <c r="D75" s="402">
        <v>0</v>
      </c>
      <c r="E75" s="435">
        <v>0.68</v>
      </c>
      <c r="F75" s="401">
        <v>0</v>
      </c>
      <c r="G75" s="409" t="s">
        <v>594</v>
      </c>
    </row>
    <row r="76" spans="2:7" ht="42.75" customHeight="1">
      <c r="B76" s="408"/>
      <c r="C76" s="401" t="s">
        <v>601</v>
      </c>
      <c r="D76" s="402">
        <v>18.600000000000001</v>
      </c>
      <c r="E76" s="435">
        <v>2.48</v>
      </c>
      <c r="F76" s="401">
        <v>1</v>
      </c>
      <c r="G76" s="409" t="s">
        <v>596</v>
      </c>
    </row>
    <row r="77" spans="2:7" ht="42.75" customHeight="1">
      <c r="B77" s="408"/>
      <c r="C77" s="401" t="s">
        <v>602</v>
      </c>
      <c r="D77" s="402">
        <v>0</v>
      </c>
      <c r="E77" s="435">
        <v>7.44</v>
      </c>
      <c r="F77" s="401">
        <v>0</v>
      </c>
      <c r="G77" s="409" t="s">
        <v>598</v>
      </c>
    </row>
    <row r="78" spans="2:7">
      <c r="B78" s="408"/>
      <c r="D78" s="402"/>
      <c r="E78" s="403"/>
      <c r="F78" s="401"/>
      <c r="G78" s="16"/>
    </row>
    <row r="79" spans="2:7" ht="29.25" customHeight="1">
      <c r="B79" s="439" t="s">
        <v>50</v>
      </c>
      <c r="C79" s="431"/>
      <c r="D79" s="432">
        <f>SUM(D56:D78)</f>
        <v>1037.4699999999998</v>
      </c>
      <c r="E79" s="436">
        <f>SUM(E56:E78)</f>
        <v>60.569999999999986</v>
      </c>
      <c r="F79" s="433">
        <f>SUM(F56:F78)</f>
        <v>76</v>
      </c>
      <c r="G79" s="440"/>
    </row>
    <row r="80" spans="2:7" ht="31.5" customHeight="1">
      <c r="B80" s="411" t="s">
        <v>54</v>
      </c>
      <c r="C80" s="411"/>
      <c r="D80" s="411"/>
      <c r="E80" s="411"/>
      <c r="F80" s="411"/>
      <c r="G80" s="411"/>
    </row>
    <row r="81" spans="1:7" ht="53.25" customHeight="1">
      <c r="A81" s="412"/>
      <c r="B81" s="4" t="s">
        <v>3</v>
      </c>
      <c r="C81" s="4" t="s">
        <v>55</v>
      </c>
      <c r="D81" s="4" t="s">
        <v>5</v>
      </c>
      <c r="E81" s="4" t="s">
        <v>56</v>
      </c>
      <c r="F81" s="4" t="s">
        <v>7</v>
      </c>
      <c r="G81" s="6" t="s">
        <v>57</v>
      </c>
    </row>
    <row r="82" spans="1:7" ht="69.75" customHeight="1">
      <c r="B82" s="413" t="s">
        <v>58</v>
      </c>
      <c r="C82" s="24"/>
      <c r="D82" s="402"/>
      <c r="E82" s="402"/>
      <c r="F82" s="401"/>
      <c r="G82" s="18"/>
    </row>
    <row r="83" spans="1:7" ht="24.75" customHeight="1">
      <c r="B83" s="441" t="s">
        <v>50</v>
      </c>
      <c r="C83" s="442"/>
      <c r="D83" s="432">
        <v>0</v>
      </c>
      <c r="E83" s="432"/>
      <c r="F83" s="443">
        <v>0</v>
      </c>
      <c r="G83" s="444"/>
    </row>
    <row r="84" spans="1:7" ht="30" customHeight="1">
      <c r="B84" s="414" t="s">
        <v>59</v>
      </c>
      <c r="C84" s="401" t="s">
        <v>603</v>
      </c>
      <c r="D84" s="402">
        <v>5523.15</v>
      </c>
      <c r="E84" s="402">
        <v>5532</v>
      </c>
      <c r="F84" s="401">
        <v>95</v>
      </c>
      <c r="G84" s="18"/>
    </row>
    <row r="85" spans="1:7" ht="28.5" customHeight="1">
      <c r="B85" s="414"/>
      <c r="C85" s="401" t="s">
        <v>604</v>
      </c>
      <c r="D85" s="402">
        <v>3585</v>
      </c>
      <c r="E85" s="402">
        <v>3600</v>
      </c>
      <c r="F85" s="401">
        <v>65</v>
      </c>
      <c r="G85" s="18"/>
    </row>
    <row r="86" spans="1:7" ht="29.25" customHeight="1">
      <c r="B86" s="441" t="s">
        <v>50</v>
      </c>
      <c r="C86" s="442"/>
      <c r="D86" s="432">
        <f>SUM(D84:D85)</f>
        <v>9108.15</v>
      </c>
      <c r="E86" s="432">
        <f>SUM(E84:E85)</f>
        <v>9132</v>
      </c>
      <c r="F86" s="443">
        <f>SUM(F84:F85)</f>
        <v>160</v>
      </c>
      <c r="G86" s="444"/>
    </row>
    <row r="87" spans="1:7" ht="90" customHeight="1">
      <c r="B87" s="408" t="s">
        <v>61</v>
      </c>
      <c r="C87" s="415" t="s">
        <v>605</v>
      </c>
      <c r="D87" s="402">
        <v>0</v>
      </c>
      <c r="E87" s="402">
        <v>302.38</v>
      </c>
      <c r="F87" s="401">
        <v>1</v>
      </c>
      <c r="G87" s="401" t="s">
        <v>606</v>
      </c>
    </row>
    <row r="88" spans="1:7" ht="135">
      <c r="B88" s="408"/>
      <c r="C88" s="415" t="s">
        <v>607</v>
      </c>
      <c r="D88" s="402">
        <v>529.30999999999995</v>
      </c>
      <c r="E88" s="402">
        <v>354.13</v>
      </c>
      <c r="F88" s="401">
        <v>1</v>
      </c>
      <c r="G88" s="401" t="s">
        <v>608</v>
      </c>
    </row>
    <row r="89" spans="1:7" ht="39" customHeight="1">
      <c r="B89" s="408"/>
      <c r="C89" s="415" t="s">
        <v>609</v>
      </c>
      <c r="D89" s="402">
        <v>15153.73</v>
      </c>
      <c r="E89" s="402">
        <v>18331.12</v>
      </c>
      <c r="F89" s="401">
        <v>1</v>
      </c>
      <c r="G89" s="416" t="s">
        <v>610</v>
      </c>
    </row>
    <row r="90" spans="1:7" ht="27" customHeight="1">
      <c r="B90" s="441" t="s">
        <v>50</v>
      </c>
      <c r="C90" s="442"/>
      <c r="D90" s="432">
        <f>SUM(D87:D89)</f>
        <v>15683.039999999999</v>
      </c>
      <c r="E90" s="432">
        <f>SUM(E87:E89)</f>
        <v>18987.629999999997</v>
      </c>
      <c r="F90" s="443">
        <f>SUM(F87:F89)</f>
        <v>3</v>
      </c>
      <c r="G90" s="444"/>
    </row>
    <row r="91" spans="1:7" ht="57.75" customHeight="1">
      <c r="B91" s="408" t="s">
        <v>62</v>
      </c>
      <c r="C91" s="405" t="s">
        <v>611</v>
      </c>
      <c r="D91" s="402">
        <v>566.25</v>
      </c>
      <c r="E91" s="402">
        <v>798.75</v>
      </c>
      <c r="F91" s="417">
        <v>1</v>
      </c>
      <c r="G91" s="401" t="s">
        <v>612</v>
      </c>
    </row>
    <row r="92" spans="1:7" ht="45" customHeight="1">
      <c r="B92" s="408"/>
      <c r="C92" s="401" t="s">
        <v>613</v>
      </c>
      <c r="D92" s="402">
        <v>0</v>
      </c>
      <c r="E92" s="402">
        <v>6800</v>
      </c>
      <c r="F92" s="417">
        <v>1</v>
      </c>
      <c r="G92" s="401" t="s">
        <v>614</v>
      </c>
    </row>
    <row r="93" spans="1:7" ht="45" customHeight="1">
      <c r="B93" s="408"/>
      <c r="C93" s="401" t="s">
        <v>615</v>
      </c>
      <c r="D93" s="402">
        <v>0</v>
      </c>
      <c r="E93" s="402">
        <v>7910</v>
      </c>
      <c r="F93" s="417">
        <v>1</v>
      </c>
      <c r="G93" s="401" t="s">
        <v>616</v>
      </c>
    </row>
    <row r="94" spans="1:7" ht="45" customHeight="1">
      <c r="B94" s="408"/>
      <c r="C94" s="401" t="s">
        <v>617</v>
      </c>
      <c r="D94" s="402">
        <v>0</v>
      </c>
      <c r="E94" s="402">
        <v>2905.56</v>
      </c>
      <c r="F94" s="417">
        <v>1</v>
      </c>
      <c r="G94" s="401" t="s">
        <v>618</v>
      </c>
    </row>
    <row r="95" spans="1:7" ht="45" customHeight="1">
      <c r="B95" s="408"/>
      <c r="C95" s="401" t="s">
        <v>619</v>
      </c>
      <c r="D95" s="402">
        <v>0</v>
      </c>
      <c r="E95" s="402">
        <v>3450</v>
      </c>
      <c r="F95" s="417">
        <v>1</v>
      </c>
      <c r="G95" s="401" t="s">
        <v>614</v>
      </c>
    </row>
    <row r="96" spans="1:7" ht="45" customHeight="1">
      <c r="B96" s="408"/>
      <c r="C96" s="405" t="s">
        <v>620</v>
      </c>
      <c r="D96" s="402">
        <v>0</v>
      </c>
      <c r="E96" s="402">
        <v>0</v>
      </c>
      <c r="F96" s="417">
        <v>1</v>
      </c>
      <c r="G96" s="401" t="s">
        <v>614</v>
      </c>
    </row>
    <row r="97" spans="2:7" ht="45" customHeight="1">
      <c r="B97" s="408"/>
      <c r="C97" s="401" t="s">
        <v>621</v>
      </c>
      <c r="D97" s="402">
        <v>0</v>
      </c>
      <c r="E97" s="402">
        <v>0</v>
      </c>
      <c r="F97" s="417">
        <v>1</v>
      </c>
      <c r="G97" s="401" t="s">
        <v>301</v>
      </c>
    </row>
    <row r="98" spans="2:7" ht="45" customHeight="1">
      <c r="B98" s="408"/>
      <c r="C98" s="401" t="s">
        <v>622</v>
      </c>
      <c r="D98" s="402">
        <v>0</v>
      </c>
      <c r="E98" s="402" t="s">
        <v>623</v>
      </c>
      <c r="F98" s="417">
        <v>1</v>
      </c>
      <c r="G98" s="401" t="s">
        <v>616</v>
      </c>
    </row>
    <row r="99" spans="2:7" ht="54" customHeight="1">
      <c r="B99" s="408"/>
      <c r="C99" s="401" t="s">
        <v>624</v>
      </c>
      <c r="D99" s="402">
        <v>0</v>
      </c>
      <c r="E99" s="402">
        <v>0</v>
      </c>
      <c r="F99" s="417">
        <v>1</v>
      </c>
      <c r="G99" s="401" t="s">
        <v>301</v>
      </c>
    </row>
    <row r="100" spans="2:7" ht="45" customHeight="1">
      <c r="B100" s="408"/>
      <c r="C100" s="401" t="s">
        <v>625</v>
      </c>
      <c r="D100" s="402">
        <v>0</v>
      </c>
      <c r="E100" s="402">
        <v>1207</v>
      </c>
      <c r="F100" s="417">
        <v>1</v>
      </c>
      <c r="G100" s="401" t="s">
        <v>626</v>
      </c>
    </row>
    <row r="101" spans="2:7" ht="45" customHeight="1">
      <c r="B101" s="408"/>
      <c r="C101" s="401" t="s">
        <v>627</v>
      </c>
      <c r="D101" s="402">
        <v>0</v>
      </c>
      <c r="E101" s="402">
        <v>0</v>
      </c>
      <c r="F101" s="417">
        <v>1</v>
      </c>
      <c r="G101" s="401" t="s">
        <v>301</v>
      </c>
    </row>
    <row r="102" spans="2:7" ht="45" customHeight="1">
      <c r="B102" s="408"/>
      <c r="C102" s="401" t="s">
        <v>628</v>
      </c>
      <c r="D102" s="402">
        <v>0</v>
      </c>
      <c r="E102" s="402">
        <v>1818.75</v>
      </c>
      <c r="F102" s="417">
        <v>1</v>
      </c>
      <c r="G102" s="401" t="s">
        <v>629</v>
      </c>
    </row>
    <row r="103" spans="2:7" ht="16.5" customHeight="1">
      <c r="B103" s="441" t="s">
        <v>50</v>
      </c>
      <c r="C103" s="445"/>
      <c r="D103" s="432">
        <f>SUM(D91:D102)</f>
        <v>566.25</v>
      </c>
      <c r="E103" s="432">
        <f>SUM(E91:E102)</f>
        <v>24890.06</v>
      </c>
      <c r="F103" s="443">
        <f>SUM(F91:F102)</f>
        <v>12</v>
      </c>
      <c r="G103" s="444"/>
    </row>
    <row r="104" spans="2:7" ht="30.75" customHeight="1">
      <c r="B104" s="418" t="s">
        <v>69</v>
      </c>
      <c r="C104" s="36"/>
      <c r="D104" s="419"/>
      <c r="E104" s="419"/>
      <c r="F104" s="417"/>
      <c r="G104" s="18"/>
    </row>
    <row r="105" spans="2:7" ht="15.75">
      <c r="B105" s="441" t="s">
        <v>50</v>
      </c>
      <c r="C105" s="445"/>
      <c r="D105" s="432">
        <v>0</v>
      </c>
      <c r="E105" s="432"/>
      <c r="F105" s="443">
        <v>0</v>
      </c>
      <c r="G105" s="444"/>
    </row>
    <row r="106" spans="2:7" ht="17.25" customHeight="1">
      <c r="B106" s="360"/>
      <c r="C106" s="360"/>
      <c r="D106" s="360"/>
      <c r="E106" s="360"/>
      <c r="F106" s="360"/>
      <c r="G106" s="360"/>
    </row>
    <row r="107" spans="2:7" ht="64.5" customHeight="1">
      <c r="B107" s="441" t="s">
        <v>70</v>
      </c>
      <c r="C107" s="442"/>
      <c r="D107" s="446">
        <f>SUM(D55+D79+D83+D86+D90+D103+D105)</f>
        <v>48284.14</v>
      </c>
      <c r="E107" s="446">
        <f>SUM(E55+E79+E83+E86+E90+E103+E105)</f>
        <v>53295.630000000005</v>
      </c>
      <c r="F107" s="447">
        <f>SUM(F55+F79+F83+F86+F90+F103+F105)</f>
        <v>440</v>
      </c>
      <c r="G107" s="444"/>
    </row>
    <row r="108" spans="2:7">
      <c r="B108" s="420"/>
      <c r="C108" s="421"/>
      <c r="D108" s="421"/>
      <c r="E108" s="421"/>
      <c r="F108" s="421"/>
    </row>
    <row r="109" spans="2:7">
      <c r="B109" s="420"/>
      <c r="C109" s="421"/>
      <c r="D109" s="421"/>
      <c r="E109" s="421"/>
      <c r="F109" s="421"/>
    </row>
    <row r="110" spans="2:7">
      <c r="B110" s="422" t="s">
        <v>634</v>
      </c>
    </row>
    <row r="111" spans="2:7" ht="45" customHeight="1">
      <c r="B111" s="423" t="s">
        <v>630</v>
      </c>
      <c r="C111" s="423"/>
      <c r="D111" s="423"/>
      <c r="E111" s="423"/>
    </row>
    <row r="112" spans="2:7" ht="15" customHeight="1">
      <c r="B112" s="423" t="s">
        <v>631</v>
      </c>
      <c r="C112" s="423"/>
      <c r="D112" s="423"/>
      <c r="E112" s="423"/>
    </row>
    <row r="113" spans="2:7">
      <c r="B113" s="423" t="s">
        <v>632</v>
      </c>
      <c r="C113" s="423"/>
      <c r="D113" s="423"/>
      <c r="E113" s="423"/>
      <c r="F113" s="424"/>
      <c r="G113" s="424"/>
    </row>
    <row r="114" spans="2:7">
      <c r="B114" s="425"/>
    </row>
    <row r="115" spans="2:7">
      <c r="B115" s="426" t="s">
        <v>633</v>
      </c>
    </row>
    <row r="116" spans="2:7">
      <c r="B116" s="427"/>
      <c r="C116" s="427"/>
      <c r="D116" s="427"/>
      <c r="E116" s="428"/>
    </row>
    <row r="117" spans="2:7">
      <c r="B117" s="188" t="s">
        <v>130</v>
      </c>
    </row>
    <row r="118" spans="2:7" ht="15.75" customHeight="1">
      <c r="B118" s="429"/>
    </row>
  </sheetData>
  <mergeCells count="15">
    <mergeCell ref="B113:E113"/>
    <mergeCell ref="F113:G113"/>
    <mergeCell ref="B116:D116"/>
    <mergeCell ref="B84:B85"/>
    <mergeCell ref="B87:B89"/>
    <mergeCell ref="B91:B102"/>
    <mergeCell ref="B106:G106"/>
    <mergeCell ref="B111:E111"/>
    <mergeCell ref="B112:E112"/>
    <mergeCell ref="B4:G4"/>
    <mergeCell ref="B5:G5"/>
    <mergeCell ref="B6:G6"/>
    <mergeCell ref="B8:B54"/>
    <mergeCell ref="B56:B78"/>
    <mergeCell ref="B80:G8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78" workbookViewId="0">
      <selection activeCell="F96" sqref="F96"/>
    </sheetView>
  </sheetViews>
  <sheetFormatPr defaultColWidth="9.140625" defaultRowHeight="15"/>
  <cols>
    <col min="1" max="1" width="3.42578125" customWidth="1"/>
    <col min="2" max="2" width="45.140625" customWidth="1"/>
    <col min="3" max="3" width="31.140625" style="42" customWidth="1"/>
    <col min="4" max="4" width="16.7109375" style="130" customWidth="1"/>
    <col min="5" max="5" width="24.85546875" style="130" customWidth="1"/>
    <col min="6" max="6" width="15.28515625" style="161" customWidth="1"/>
    <col min="7" max="7" width="34.42578125" style="63" customWidth="1"/>
  </cols>
  <sheetData>
    <row r="1" spans="2:7" ht="30" customHeight="1">
      <c r="B1" s="1" t="s">
        <v>0</v>
      </c>
    </row>
    <row r="2" spans="2:7" ht="25.5" customHeight="1">
      <c r="B2" s="162" t="s">
        <v>250</v>
      </c>
      <c r="D2" s="163"/>
      <c r="E2" s="163"/>
    </row>
    <row r="3" spans="2:7" ht="12.75" customHeight="1">
      <c r="D3" s="163"/>
      <c r="E3" s="163"/>
    </row>
    <row r="4" spans="2:7" ht="32.25" customHeight="1">
      <c r="B4" s="342" t="s">
        <v>369</v>
      </c>
      <c r="C4" s="342"/>
      <c r="D4" s="342"/>
      <c r="E4" s="342"/>
      <c r="F4" s="342"/>
      <c r="G4" s="342"/>
    </row>
    <row r="5" spans="2:7" ht="31.5" customHeight="1">
      <c r="B5" s="342" t="s">
        <v>423</v>
      </c>
      <c r="C5" s="342"/>
      <c r="D5" s="342"/>
      <c r="E5" s="342"/>
      <c r="F5" s="342"/>
      <c r="G5" s="342"/>
    </row>
    <row r="6" spans="2:7" ht="26.25" customHeight="1">
      <c r="B6" s="289" t="s">
        <v>2</v>
      </c>
      <c r="C6" s="289"/>
      <c r="D6" s="289"/>
      <c r="E6" s="289"/>
      <c r="F6" s="289"/>
      <c r="G6" s="289"/>
    </row>
    <row r="7" spans="2:7" ht="63.75" customHeight="1">
      <c r="B7" s="44" t="s">
        <v>3</v>
      </c>
      <c r="C7" s="5" t="s">
        <v>55</v>
      </c>
      <c r="D7" s="5" t="s">
        <v>5</v>
      </c>
      <c r="E7" s="5" t="s">
        <v>6</v>
      </c>
      <c r="F7" s="5" t="s">
        <v>7</v>
      </c>
      <c r="G7" s="5" t="s">
        <v>8</v>
      </c>
    </row>
    <row r="8" spans="2:7" ht="30" customHeight="1">
      <c r="B8" s="379" t="s">
        <v>9</v>
      </c>
      <c r="C8" s="164" t="s">
        <v>424</v>
      </c>
      <c r="D8" s="165">
        <f>1549.13+5148.56</f>
        <v>6697.6900000000005</v>
      </c>
      <c r="E8" s="165">
        <v>4.5</v>
      </c>
      <c r="F8" s="166">
        <v>5</v>
      </c>
      <c r="G8" s="47"/>
    </row>
    <row r="9" spans="2:7" ht="30" customHeight="1">
      <c r="B9" s="380"/>
      <c r="C9" s="164" t="s">
        <v>425</v>
      </c>
      <c r="D9" s="165">
        <v>425.25</v>
      </c>
      <c r="E9" s="165">
        <v>1.05</v>
      </c>
      <c r="F9" s="166">
        <v>2</v>
      </c>
      <c r="G9" s="47"/>
    </row>
    <row r="10" spans="2:7" ht="30" customHeight="1">
      <c r="B10" s="380"/>
      <c r="C10" s="164" t="s">
        <v>426</v>
      </c>
      <c r="D10" s="165">
        <f>59.4+104.4</f>
        <v>163.80000000000001</v>
      </c>
      <c r="E10" s="165">
        <v>6</v>
      </c>
      <c r="F10" s="166">
        <v>1</v>
      </c>
      <c r="G10" s="119"/>
    </row>
    <row r="11" spans="2:7" ht="30" customHeight="1">
      <c r="B11" s="380"/>
      <c r="C11" s="164" t="s">
        <v>427</v>
      </c>
      <c r="D11" s="165">
        <f>631.8+807.75</f>
        <v>1439.55</v>
      </c>
      <c r="E11" s="165">
        <v>4.5</v>
      </c>
      <c r="F11" s="166">
        <v>2</v>
      </c>
      <c r="G11" s="47"/>
    </row>
    <row r="12" spans="2:7" ht="30" customHeight="1">
      <c r="B12" s="380"/>
      <c r="C12" s="164" t="s">
        <v>428</v>
      </c>
      <c r="D12" s="165">
        <f>27+60.9</f>
        <v>87.9</v>
      </c>
      <c r="E12" s="165">
        <v>3</v>
      </c>
      <c r="F12" s="166">
        <v>1</v>
      </c>
      <c r="G12" s="47"/>
    </row>
    <row r="13" spans="2:7" ht="30" customHeight="1">
      <c r="B13" s="380"/>
      <c r="C13" s="164" t="s">
        <v>429</v>
      </c>
      <c r="D13" s="165">
        <f>105+300.3+225.9+28</f>
        <v>659.2</v>
      </c>
      <c r="E13" s="165">
        <v>3</v>
      </c>
      <c r="F13" s="166">
        <v>4</v>
      </c>
      <c r="G13" s="47"/>
    </row>
    <row r="14" spans="2:7" ht="30" customHeight="1">
      <c r="B14" s="380"/>
      <c r="C14" s="164" t="s">
        <v>430</v>
      </c>
      <c r="D14" s="165">
        <v>16.7</v>
      </c>
      <c r="E14" s="165">
        <v>1.05</v>
      </c>
      <c r="F14" s="166">
        <v>1</v>
      </c>
      <c r="G14" s="47"/>
    </row>
    <row r="15" spans="2:7" ht="30" customHeight="1">
      <c r="B15" s="380"/>
      <c r="C15" s="164" t="s">
        <v>431</v>
      </c>
      <c r="D15" s="165">
        <v>200.66</v>
      </c>
      <c r="E15" s="165">
        <v>1.05</v>
      </c>
      <c r="F15" s="166">
        <v>1</v>
      </c>
      <c r="G15" s="47"/>
    </row>
    <row r="16" spans="2:7" ht="30" customHeight="1">
      <c r="B16" s="380"/>
      <c r="C16" s="164" t="s">
        <v>432</v>
      </c>
      <c r="D16" s="165">
        <f>162+596.7</f>
        <v>758.7</v>
      </c>
      <c r="E16" s="165">
        <v>3</v>
      </c>
      <c r="F16" s="166">
        <v>3</v>
      </c>
      <c r="G16" s="47"/>
    </row>
    <row r="17" spans="2:7" ht="30" customHeight="1">
      <c r="B17" s="380"/>
      <c r="C17" s="382" t="s">
        <v>433</v>
      </c>
      <c r="D17" s="165">
        <f>268.13+288.97+69.47+55.11</f>
        <v>681.68000000000006</v>
      </c>
      <c r="E17" s="165">
        <v>1.05</v>
      </c>
      <c r="F17" s="166">
        <v>6</v>
      </c>
      <c r="G17" s="119"/>
    </row>
    <row r="18" spans="2:7" ht="30" customHeight="1">
      <c r="B18" s="380"/>
      <c r="C18" s="323"/>
      <c r="D18" s="165">
        <f>168.53+289.11</f>
        <v>457.64</v>
      </c>
      <c r="E18" s="165">
        <v>3.5</v>
      </c>
      <c r="F18" s="166">
        <v>4</v>
      </c>
      <c r="G18" s="119"/>
    </row>
    <row r="19" spans="2:7" ht="30" customHeight="1">
      <c r="B19" s="380"/>
      <c r="C19" s="164" t="s">
        <v>434</v>
      </c>
      <c r="D19" s="165">
        <f>243.68+75.6</f>
        <v>319.27999999999997</v>
      </c>
      <c r="E19" s="165">
        <v>3</v>
      </c>
      <c r="F19" s="166">
        <v>1</v>
      </c>
      <c r="G19" s="47"/>
    </row>
    <row r="20" spans="2:7" ht="30" customHeight="1">
      <c r="B20" s="380"/>
      <c r="C20" s="382" t="s">
        <v>435</v>
      </c>
      <c r="D20" s="165">
        <f>-D21+91.88+13.7+9.77</f>
        <v>44.05</v>
      </c>
      <c r="E20" s="165">
        <v>1.05</v>
      </c>
      <c r="F20" s="166">
        <v>1</v>
      </c>
      <c r="G20" s="119"/>
    </row>
    <row r="21" spans="2:7" ht="30" customHeight="1">
      <c r="B21" s="380"/>
      <c r="C21" s="323"/>
      <c r="D21" s="165">
        <v>71.3</v>
      </c>
      <c r="E21" s="165">
        <v>3.5</v>
      </c>
      <c r="F21" s="166">
        <v>1</v>
      </c>
      <c r="G21" s="119"/>
    </row>
    <row r="22" spans="2:7" ht="30" customHeight="1">
      <c r="B22" s="380"/>
      <c r="C22" s="382" t="s">
        <v>436</v>
      </c>
      <c r="D22" s="165">
        <f>61.43+1061.83</f>
        <v>1123.26</v>
      </c>
      <c r="E22" s="165">
        <v>3.5</v>
      </c>
      <c r="F22" s="166">
        <v>2</v>
      </c>
      <c r="G22" s="119"/>
    </row>
    <row r="23" spans="2:7" ht="30" customHeight="1">
      <c r="B23" s="380"/>
      <c r="C23" s="323"/>
      <c r="D23" s="165">
        <v>39.06</v>
      </c>
      <c r="E23" s="165">
        <v>1.05</v>
      </c>
      <c r="F23" s="166">
        <v>1</v>
      </c>
      <c r="G23" s="119"/>
    </row>
    <row r="24" spans="2:7" ht="30" customHeight="1">
      <c r="B24" s="380"/>
      <c r="C24" s="382" t="s">
        <v>437</v>
      </c>
      <c r="D24" s="165">
        <f>39.15+68.63</f>
        <v>107.78</v>
      </c>
      <c r="E24" s="165">
        <v>3</v>
      </c>
      <c r="F24" s="166">
        <v>1</v>
      </c>
      <c r="G24" s="119"/>
    </row>
    <row r="25" spans="2:7" ht="30" customHeight="1">
      <c r="B25" s="380"/>
      <c r="C25" s="323"/>
      <c r="D25" s="165">
        <v>659.1</v>
      </c>
      <c r="E25" s="165">
        <v>10</v>
      </c>
      <c r="F25" s="166">
        <v>1</v>
      </c>
      <c r="G25" s="119"/>
    </row>
    <row r="26" spans="2:7" ht="30" customHeight="1">
      <c r="B26" s="380"/>
      <c r="C26" s="164" t="s">
        <v>438</v>
      </c>
      <c r="D26" s="165">
        <v>95.18</v>
      </c>
      <c r="E26" s="165">
        <v>6</v>
      </c>
      <c r="F26" s="166">
        <v>1</v>
      </c>
      <c r="G26" s="119"/>
    </row>
    <row r="27" spans="2:7" ht="30" customHeight="1">
      <c r="B27" s="380"/>
      <c r="C27" s="382" t="s">
        <v>439</v>
      </c>
      <c r="D27" s="165">
        <f>21.98+369.99</f>
        <v>391.97</v>
      </c>
      <c r="E27" s="165">
        <v>3.5</v>
      </c>
      <c r="F27" s="166">
        <f>2+3</f>
        <v>5</v>
      </c>
      <c r="G27" s="119"/>
    </row>
    <row r="28" spans="2:7" ht="30" customHeight="1">
      <c r="B28" s="380"/>
      <c r="C28" s="323"/>
      <c r="D28" s="165">
        <v>44.18</v>
      </c>
      <c r="E28" s="165">
        <v>1.05</v>
      </c>
      <c r="F28" s="166">
        <v>1</v>
      </c>
      <c r="G28" s="119"/>
    </row>
    <row r="29" spans="2:7" ht="30" customHeight="1">
      <c r="B29" s="380"/>
      <c r="C29" s="164" t="s">
        <v>440</v>
      </c>
      <c r="D29" s="165">
        <f>37.5+688.59+261.9</f>
        <v>987.99</v>
      </c>
      <c r="E29" s="165">
        <v>1.8</v>
      </c>
      <c r="F29" s="166">
        <f>2+6</f>
        <v>8</v>
      </c>
      <c r="G29" s="47"/>
    </row>
    <row r="30" spans="2:7" ht="30" customHeight="1">
      <c r="B30" s="380"/>
      <c r="C30" s="164" t="s">
        <v>441</v>
      </c>
      <c r="D30" s="165">
        <v>248.85</v>
      </c>
      <c r="E30" s="165">
        <v>4.5</v>
      </c>
      <c r="F30" s="166">
        <v>1</v>
      </c>
      <c r="G30" s="47"/>
    </row>
    <row r="31" spans="2:7" ht="30" customHeight="1">
      <c r="B31" s="380"/>
      <c r="C31" s="167" t="s">
        <v>442</v>
      </c>
      <c r="D31" s="165">
        <f>1107.9+1719.6</f>
        <v>2827.5</v>
      </c>
      <c r="E31" s="165">
        <v>3</v>
      </c>
      <c r="F31" s="166">
        <v>4</v>
      </c>
      <c r="G31" s="47"/>
    </row>
    <row r="32" spans="2:7" ht="30" customHeight="1">
      <c r="B32" s="380"/>
      <c r="C32" s="167" t="s">
        <v>443</v>
      </c>
      <c r="D32" s="165">
        <f>81.27+267.75</f>
        <v>349.02</v>
      </c>
      <c r="E32" s="165">
        <v>1.05</v>
      </c>
      <c r="F32" s="166">
        <v>2</v>
      </c>
      <c r="G32" s="47"/>
    </row>
    <row r="33" spans="2:7" ht="30" customHeight="1">
      <c r="B33" s="380"/>
      <c r="C33" s="164" t="s">
        <v>444</v>
      </c>
      <c r="D33" s="165">
        <f>177.3+275.1+131.4</f>
        <v>583.80000000000007</v>
      </c>
      <c r="E33" s="165">
        <v>3</v>
      </c>
      <c r="F33" s="166">
        <f>3+2</f>
        <v>5</v>
      </c>
      <c r="G33" s="47"/>
    </row>
    <row r="34" spans="2:7" ht="30" customHeight="1">
      <c r="B34" s="380"/>
      <c r="C34" s="168" t="s">
        <v>445</v>
      </c>
      <c r="D34" s="165">
        <f>82.62+545.69+38.88+101.93</f>
        <v>769.12000000000012</v>
      </c>
      <c r="E34" s="165">
        <v>1.8</v>
      </c>
      <c r="F34" s="166">
        <v>5</v>
      </c>
      <c r="G34" s="47"/>
    </row>
    <row r="35" spans="2:7" ht="30" customHeight="1">
      <c r="B35" s="380"/>
      <c r="C35" s="168" t="s">
        <v>446</v>
      </c>
      <c r="D35" s="165">
        <v>21.32</v>
      </c>
      <c r="E35" s="165">
        <v>1.05</v>
      </c>
      <c r="F35" s="166">
        <v>1</v>
      </c>
      <c r="G35" s="47"/>
    </row>
    <row r="36" spans="2:7" ht="30" customHeight="1">
      <c r="B36" s="380"/>
      <c r="C36" s="167" t="s">
        <v>447</v>
      </c>
      <c r="D36" s="165">
        <v>142.69999999999999</v>
      </c>
      <c r="E36" s="165">
        <v>1.05</v>
      </c>
      <c r="F36" s="166">
        <v>1</v>
      </c>
      <c r="G36" s="47"/>
    </row>
    <row r="37" spans="2:7" ht="30" customHeight="1">
      <c r="B37" s="380"/>
      <c r="C37" s="167" t="s">
        <v>448</v>
      </c>
      <c r="D37" s="165">
        <f>314.11+113.26+40.5</f>
        <v>467.87</v>
      </c>
      <c r="E37" s="165">
        <v>3</v>
      </c>
      <c r="F37" s="166">
        <f>3+2</f>
        <v>5</v>
      </c>
      <c r="G37" s="47"/>
    </row>
    <row r="38" spans="2:7" ht="30" customHeight="1">
      <c r="B38" s="380"/>
      <c r="C38" s="167" t="s">
        <v>449</v>
      </c>
      <c r="D38" s="165">
        <f>150.3+184.8+81.72</f>
        <v>416.82000000000005</v>
      </c>
      <c r="E38" s="165">
        <v>3</v>
      </c>
      <c r="F38" s="166">
        <v>7</v>
      </c>
      <c r="G38" s="47"/>
    </row>
    <row r="39" spans="2:7" ht="30" customHeight="1">
      <c r="B39" s="380"/>
      <c r="C39" s="164" t="s">
        <v>450</v>
      </c>
      <c r="D39" s="165">
        <f>266.4+1588.65+562.5</f>
        <v>2417.5500000000002</v>
      </c>
      <c r="E39" s="165">
        <v>3</v>
      </c>
      <c r="F39" s="166">
        <v>3</v>
      </c>
      <c r="G39" s="47"/>
    </row>
    <row r="40" spans="2:7" ht="30" customHeight="1">
      <c r="B40" s="380"/>
      <c r="C40" s="164" t="s">
        <v>451</v>
      </c>
      <c r="D40" s="165">
        <f>404.1+1965.1+392.4</f>
        <v>2761.6</v>
      </c>
      <c r="E40" s="165">
        <v>3</v>
      </c>
      <c r="F40" s="166">
        <v>3</v>
      </c>
      <c r="G40" s="47"/>
    </row>
    <row r="41" spans="2:7" ht="30" customHeight="1">
      <c r="B41" s="380"/>
      <c r="C41" s="164" t="s">
        <v>452</v>
      </c>
      <c r="D41" s="165">
        <f>640.4+1571.01</f>
        <v>2211.41</v>
      </c>
      <c r="E41" s="165">
        <v>1.05</v>
      </c>
      <c r="F41" s="166">
        <v>3</v>
      </c>
      <c r="G41" s="47"/>
    </row>
    <row r="42" spans="2:7" ht="30" customHeight="1">
      <c r="B42" s="380"/>
      <c r="C42" s="164" t="s">
        <v>453</v>
      </c>
      <c r="D42" s="165">
        <f>13.23+1984.5+55.73</f>
        <v>2053.46</v>
      </c>
      <c r="E42" s="165">
        <v>1.05</v>
      </c>
      <c r="F42" s="166">
        <v>1</v>
      </c>
      <c r="G42" s="47"/>
    </row>
    <row r="43" spans="2:7" ht="30" customHeight="1">
      <c r="B43" s="380"/>
      <c r="C43" s="164" t="s">
        <v>454</v>
      </c>
      <c r="D43" s="165">
        <f>500+185.1+361.26+173.13</f>
        <v>1219.4900000000002</v>
      </c>
      <c r="E43" s="165">
        <v>3</v>
      </c>
      <c r="F43" s="166">
        <v>2</v>
      </c>
      <c r="G43" s="47"/>
    </row>
    <row r="44" spans="2:7" ht="30" customHeight="1">
      <c r="B44" s="380"/>
      <c r="C44" s="167" t="s">
        <v>455</v>
      </c>
      <c r="D44" s="165">
        <f>201.6+156.3+79.65</f>
        <v>437.54999999999995</v>
      </c>
      <c r="E44" s="165">
        <v>3</v>
      </c>
      <c r="F44" s="166">
        <v>3</v>
      </c>
      <c r="G44" s="47"/>
    </row>
    <row r="45" spans="2:7" ht="30" customHeight="1">
      <c r="B45" s="380"/>
      <c r="C45" s="167" t="s">
        <v>456</v>
      </c>
      <c r="D45" s="165">
        <v>9.4499999999999993</v>
      </c>
      <c r="E45" s="165">
        <v>1.05</v>
      </c>
      <c r="F45" s="166">
        <v>1</v>
      </c>
      <c r="G45" s="47"/>
    </row>
    <row r="46" spans="2:7" ht="30" customHeight="1">
      <c r="B46" s="380"/>
      <c r="C46" s="167" t="s">
        <v>456</v>
      </c>
      <c r="D46" s="165">
        <v>867.3</v>
      </c>
      <c r="E46" s="165">
        <v>3</v>
      </c>
      <c r="F46" s="166">
        <v>1</v>
      </c>
      <c r="G46" s="47"/>
    </row>
    <row r="47" spans="2:7" ht="30" customHeight="1">
      <c r="B47" s="380"/>
      <c r="C47" s="167" t="s">
        <v>457</v>
      </c>
      <c r="D47" s="165">
        <f>43.2+95.4</f>
        <v>138.60000000000002</v>
      </c>
      <c r="E47" s="165">
        <v>3</v>
      </c>
      <c r="F47" s="166">
        <v>2</v>
      </c>
      <c r="G47" s="47"/>
    </row>
    <row r="48" spans="2:7" ht="30" customHeight="1">
      <c r="B48" s="380"/>
      <c r="C48" s="167" t="s">
        <v>458</v>
      </c>
      <c r="D48" s="165">
        <f>260.1+540.75-95.4+41.85</f>
        <v>747.30000000000007</v>
      </c>
      <c r="E48" s="165">
        <v>3</v>
      </c>
      <c r="F48" s="166">
        <v>3</v>
      </c>
      <c r="G48" s="47"/>
    </row>
    <row r="49" spans="1:10" ht="30" customHeight="1">
      <c r="B49" s="380"/>
      <c r="C49" s="167" t="s">
        <v>459</v>
      </c>
      <c r="D49" s="165">
        <v>94.98</v>
      </c>
      <c r="E49" s="165">
        <v>1.05</v>
      </c>
      <c r="F49" s="166">
        <v>2</v>
      </c>
      <c r="G49" s="47"/>
    </row>
    <row r="50" spans="1:10" ht="30" customHeight="1">
      <c r="B50" s="380"/>
      <c r="C50" s="167" t="s">
        <v>460</v>
      </c>
      <c r="D50" s="165">
        <v>81.540000000000006</v>
      </c>
      <c r="E50" s="165">
        <v>1.8</v>
      </c>
      <c r="F50" s="166">
        <v>2</v>
      </c>
      <c r="G50" s="47"/>
    </row>
    <row r="51" spans="1:10" ht="30" customHeight="1">
      <c r="B51" s="380"/>
      <c r="C51" s="167" t="s">
        <v>461</v>
      </c>
      <c r="D51" s="165">
        <f>370.44+723.87+175.5</f>
        <v>1269.81</v>
      </c>
      <c r="E51" s="165">
        <v>1.8</v>
      </c>
      <c r="F51" s="166">
        <v>1</v>
      </c>
      <c r="G51" s="47"/>
    </row>
    <row r="52" spans="1:10" ht="30" customHeight="1">
      <c r="B52" s="380"/>
      <c r="C52" s="167" t="s">
        <v>462</v>
      </c>
      <c r="D52" s="165">
        <v>822.78</v>
      </c>
      <c r="E52" s="165">
        <v>1.8</v>
      </c>
      <c r="F52" s="166">
        <v>2</v>
      </c>
      <c r="G52" s="47"/>
    </row>
    <row r="53" spans="1:10" ht="30" customHeight="1">
      <c r="B53" s="380"/>
      <c r="C53" s="167" t="s">
        <v>463</v>
      </c>
      <c r="D53" s="165">
        <v>89.1</v>
      </c>
      <c r="E53" s="165">
        <v>1.8</v>
      </c>
      <c r="F53" s="166">
        <v>1</v>
      </c>
      <c r="G53" s="47"/>
    </row>
    <row r="54" spans="1:10" ht="30" customHeight="1">
      <c r="B54" s="380"/>
      <c r="C54" s="167" t="s">
        <v>464</v>
      </c>
      <c r="D54" s="165">
        <v>32.520000000000003</v>
      </c>
      <c r="E54" s="165">
        <v>1.05</v>
      </c>
      <c r="F54" s="166">
        <v>1</v>
      </c>
      <c r="G54" s="47"/>
    </row>
    <row r="55" spans="1:10" ht="30" customHeight="1">
      <c r="B55" s="380"/>
      <c r="C55" s="167" t="s">
        <v>465</v>
      </c>
      <c r="D55" s="165">
        <f>17.82+28.8</f>
        <v>46.620000000000005</v>
      </c>
      <c r="E55" s="165">
        <v>1.8</v>
      </c>
      <c r="F55" s="166">
        <v>1</v>
      </c>
      <c r="G55" s="47"/>
    </row>
    <row r="56" spans="1:10" ht="30" customHeight="1">
      <c r="B56" s="380"/>
      <c r="C56" s="167" t="s">
        <v>466</v>
      </c>
      <c r="D56" s="165">
        <f>39.15+566.5</f>
        <v>605.65</v>
      </c>
      <c r="E56" s="165">
        <v>1.8</v>
      </c>
      <c r="F56" s="166">
        <v>1</v>
      </c>
      <c r="G56" s="47"/>
    </row>
    <row r="57" spans="1:10" ht="30" customHeight="1">
      <c r="B57" s="381"/>
      <c r="C57" s="167" t="s">
        <v>467</v>
      </c>
      <c r="D57" s="165">
        <f>498.96+777.42+423.36</f>
        <v>1699.7399999999998</v>
      </c>
      <c r="E57" s="165">
        <v>1.05</v>
      </c>
      <c r="F57" s="166">
        <v>1</v>
      </c>
      <c r="G57" s="47"/>
    </row>
    <row r="58" spans="1:10" ht="25.5" customHeight="1">
      <c r="B58" s="169" t="s">
        <v>50</v>
      </c>
      <c r="C58" s="170"/>
      <c r="D58" s="171">
        <f>SUM(D8:D57)</f>
        <v>38905.370000000003</v>
      </c>
      <c r="E58" s="171">
        <f>+SUM(E8:E57)</f>
        <v>128.69999999999996</v>
      </c>
      <c r="F58" s="172">
        <f>SUM(F8:F57)</f>
        <v>118</v>
      </c>
      <c r="G58" s="169"/>
    </row>
    <row r="59" spans="1:10" ht="28.5" customHeight="1">
      <c r="B59" s="383" t="s">
        <v>51</v>
      </c>
      <c r="C59" s="8" t="s">
        <v>468</v>
      </c>
      <c r="D59" s="165">
        <v>0</v>
      </c>
      <c r="E59" s="165">
        <v>0</v>
      </c>
      <c r="F59" s="166">
        <v>2</v>
      </c>
      <c r="G59" s="187" t="s">
        <v>301</v>
      </c>
    </row>
    <row r="60" spans="1:10" ht="25.5" customHeight="1">
      <c r="B60" s="384"/>
      <c r="C60" s="8" t="s">
        <v>469</v>
      </c>
      <c r="D60" s="165">
        <v>0</v>
      </c>
      <c r="E60" s="165">
        <v>0</v>
      </c>
      <c r="F60" s="166">
        <v>0</v>
      </c>
      <c r="G60" s="187" t="s">
        <v>486</v>
      </c>
    </row>
    <row r="61" spans="1:10" ht="25.5" customHeight="1">
      <c r="B61" s="169" t="s">
        <v>50</v>
      </c>
      <c r="C61" s="170"/>
      <c r="D61" s="171">
        <f>SUM(D59:D60)</f>
        <v>0</v>
      </c>
      <c r="E61" s="171">
        <f>+E59+E60</f>
        <v>0</v>
      </c>
      <c r="F61" s="172">
        <f>SUM(F59:F60)</f>
        <v>2</v>
      </c>
      <c r="G61" s="52"/>
      <c r="H61" s="173"/>
      <c r="I61" s="173"/>
      <c r="J61" s="173"/>
    </row>
    <row r="62" spans="1:10" ht="31.5" customHeight="1">
      <c r="B62" s="309" t="s">
        <v>54</v>
      </c>
      <c r="C62" s="309"/>
      <c r="D62" s="309"/>
      <c r="E62" s="309"/>
      <c r="F62" s="309"/>
      <c r="G62" s="310"/>
    </row>
    <row r="63" spans="1:10" ht="60.75" customHeight="1">
      <c r="A63" s="22"/>
      <c r="B63" s="119" t="s">
        <v>3</v>
      </c>
      <c r="C63" s="119" t="s">
        <v>55</v>
      </c>
      <c r="D63" s="119" t="s">
        <v>5</v>
      </c>
      <c r="E63" s="174" t="s">
        <v>56</v>
      </c>
      <c r="F63" s="174" t="s">
        <v>7</v>
      </c>
      <c r="G63" s="174" t="s">
        <v>8</v>
      </c>
    </row>
    <row r="64" spans="1:10" ht="33" customHeight="1">
      <c r="B64" s="175" t="s">
        <v>58</v>
      </c>
      <c r="C64" s="176"/>
      <c r="D64" s="165">
        <v>0</v>
      </c>
      <c r="E64" s="165">
        <v>0</v>
      </c>
      <c r="F64" s="166">
        <v>0</v>
      </c>
      <c r="G64" s="177"/>
    </row>
    <row r="65" spans="2:7" ht="24.75" customHeight="1">
      <c r="B65" s="169" t="s">
        <v>50</v>
      </c>
      <c r="C65" s="170"/>
      <c r="D65" s="171">
        <f>+D64</f>
        <v>0</v>
      </c>
      <c r="E65" s="171">
        <f>+E64</f>
        <v>0</v>
      </c>
      <c r="F65" s="172">
        <f>+F64</f>
        <v>0</v>
      </c>
      <c r="G65" s="169"/>
    </row>
    <row r="66" spans="2:7" ht="28.5" customHeight="1">
      <c r="B66" s="383" t="s">
        <v>59</v>
      </c>
      <c r="C66" s="8" t="s">
        <v>470</v>
      </c>
      <c r="D66" s="165">
        <f>15110.5+81+483+191.5+349.04</f>
        <v>16215.04</v>
      </c>
      <c r="E66" s="178">
        <v>14359</v>
      </c>
      <c r="F66" s="179">
        <v>171</v>
      </c>
      <c r="G66" s="177" t="s">
        <v>471</v>
      </c>
    </row>
    <row r="67" spans="2:7" ht="28.5" customHeight="1">
      <c r="B67" s="385"/>
      <c r="C67" s="8" t="s">
        <v>472</v>
      </c>
      <c r="D67" s="165">
        <f>752.64+475.21+2582.25+1658.19</f>
        <v>5468.29</v>
      </c>
      <c r="E67" s="178">
        <v>6900</v>
      </c>
      <c r="F67" s="179">
        <v>69</v>
      </c>
      <c r="G67" s="177"/>
    </row>
    <row r="68" spans="2:7" ht="28.5" customHeight="1">
      <c r="B68" s="385"/>
      <c r="C68" s="8" t="s">
        <v>473</v>
      </c>
      <c r="D68" s="165">
        <f>899.62+92.1</f>
        <v>991.72</v>
      </c>
      <c r="E68" s="178">
        <v>1090</v>
      </c>
      <c r="F68" s="179">
        <v>21</v>
      </c>
      <c r="G68" s="177"/>
    </row>
    <row r="69" spans="2:7" ht="28.5" customHeight="1">
      <c r="B69" s="385"/>
      <c r="C69" s="8" t="s">
        <v>474</v>
      </c>
      <c r="D69" s="165">
        <f>98+2292.52</f>
        <v>2390.52</v>
      </c>
      <c r="E69" s="178">
        <v>1481</v>
      </c>
      <c r="F69" s="179">
        <v>15</v>
      </c>
      <c r="G69" s="177" t="s">
        <v>471</v>
      </c>
    </row>
    <row r="70" spans="2:7" ht="28.5" customHeight="1">
      <c r="B70" s="384"/>
      <c r="C70" s="8" t="s">
        <v>475</v>
      </c>
      <c r="D70" s="165">
        <f>507.14+54+108+1139.41</f>
        <v>1808.5500000000002</v>
      </c>
      <c r="E70" s="178">
        <v>3402</v>
      </c>
      <c r="F70" s="179">
        <v>63</v>
      </c>
      <c r="G70" s="177"/>
    </row>
    <row r="71" spans="2:7" ht="29.25" customHeight="1">
      <c r="B71" s="169" t="s">
        <v>50</v>
      </c>
      <c r="C71" s="170"/>
      <c r="D71" s="171">
        <f>SUM(D66:D70)</f>
        <v>26874.120000000003</v>
      </c>
      <c r="E71" s="171">
        <f>SUM(E66:E70)</f>
        <v>27232</v>
      </c>
      <c r="F71" s="172">
        <f>SUM(F66:F70)</f>
        <v>339</v>
      </c>
      <c r="G71" s="169"/>
    </row>
    <row r="72" spans="2:7" ht="31.5" customHeight="1">
      <c r="B72" s="383" t="s">
        <v>61</v>
      </c>
      <c r="C72" s="8" t="s">
        <v>476</v>
      </c>
      <c r="D72" s="165">
        <v>2250.0100000000002</v>
      </c>
      <c r="E72" s="165">
        <f>+ROUND(1312.47*1.22,2)</f>
        <v>1601.21</v>
      </c>
      <c r="F72" s="166">
        <v>1</v>
      </c>
      <c r="G72" s="177" t="s">
        <v>477</v>
      </c>
    </row>
    <row r="73" spans="2:7" ht="24" customHeight="1">
      <c r="B73" s="385"/>
      <c r="C73" s="8" t="s">
        <v>478</v>
      </c>
      <c r="D73" s="165">
        <v>0</v>
      </c>
      <c r="E73" s="165">
        <f>3345.95</f>
        <v>3345.95</v>
      </c>
      <c r="F73" s="166">
        <v>1</v>
      </c>
      <c r="G73" s="177"/>
    </row>
    <row r="74" spans="2:7" ht="24" customHeight="1">
      <c r="B74" s="384"/>
      <c r="C74" s="8" t="s">
        <v>479</v>
      </c>
      <c r="D74" s="165">
        <v>25895</v>
      </c>
      <c r="E74" s="165">
        <f>+ROUND(50999.97*1.22,2)</f>
        <v>62219.96</v>
      </c>
      <c r="F74" s="166">
        <v>1</v>
      </c>
      <c r="G74" s="177"/>
    </row>
    <row r="75" spans="2:7" ht="27" customHeight="1">
      <c r="B75" s="169" t="s">
        <v>50</v>
      </c>
      <c r="C75" s="170"/>
      <c r="D75" s="171">
        <f>SUM(D72:D74)</f>
        <v>28145.010000000002</v>
      </c>
      <c r="E75" s="171">
        <f>SUM(E72:E74)</f>
        <v>67167.12</v>
      </c>
      <c r="F75" s="172">
        <f>SUM(F72:F74)</f>
        <v>3</v>
      </c>
      <c r="G75" s="169"/>
    </row>
    <row r="76" spans="2:7" ht="27" customHeight="1">
      <c r="B76" s="383" t="s">
        <v>62</v>
      </c>
      <c r="C76" s="8" t="s">
        <v>480</v>
      </c>
      <c r="D76" s="165">
        <v>2927.98</v>
      </c>
      <c r="E76" s="165">
        <v>2730</v>
      </c>
      <c r="F76" s="166">
        <v>1</v>
      </c>
      <c r="G76" s="177" t="s">
        <v>481</v>
      </c>
    </row>
    <row r="77" spans="2:7" ht="27" customHeight="1">
      <c r="B77" s="384"/>
      <c r="C77" s="180" t="s">
        <v>482</v>
      </c>
      <c r="D77" s="165">
        <v>346.27</v>
      </c>
      <c r="E77" s="165">
        <v>692.55</v>
      </c>
      <c r="F77" s="166">
        <v>1</v>
      </c>
      <c r="G77" s="177"/>
    </row>
    <row r="78" spans="2:7" ht="16.5" customHeight="1">
      <c r="B78" s="169" t="s">
        <v>50</v>
      </c>
      <c r="C78" s="170"/>
      <c r="D78" s="171">
        <f>SUM(D76:D77)</f>
        <v>3274.25</v>
      </c>
      <c r="E78" s="171">
        <f>SUM(E76:E77)</f>
        <v>3422.55</v>
      </c>
      <c r="F78" s="172">
        <f>SUM(F76:F77)</f>
        <v>2</v>
      </c>
      <c r="G78" s="169"/>
    </row>
    <row r="79" spans="2:7" ht="30.75" customHeight="1">
      <c r="B79" s="175" t="s">
        <v>69</v>
      </c>
      <c r="C79" s="176"/>
      <c r="D79" s="165">
        <v>0</v>
      </c>
      <c r="E79" s="165">
        <v>0</v>
      </c>
      <c r="F79" s="166">
        <v>0</v>
      </c>
      <c r="G79" s="177"/>
    </row>
    <row r="80" spans="2:7" ht="25.9" customHeight="1">
      <c r="B80" s="169" t="s">
        <v>50</v>
      </c>
      <c r="C80" s="170"/>
      <c r="D80" s="171">
        <f>+D79</f>
        <v>0</v>
      </c>
      <c r="E80" s="171">
        <f>+E79</f>
        <v>0</v>
      </c>
      <c r="F80" s="172">
        <f>+F79</f>
        <v>0</v>
      </c>
      <c r="G80" s="169"/>
    </row>
    <row r="81" spans="2:7" ht="17.25" customHeight="1">
      <c r="B81" s="386"/>
      <c r="C81" s="386"/>
      <c r="D81" s="386"/>
      <c r="E81" s="386"/>
      <c r="F81" s="386"/>
      <c r="G81" s="386"/>
    </row>
    <row r="82" spans="2:7" ht="33" customHeight="1">
      <c r="B82" s="181" t="s">
        <v>121</v>
      </c>
      <c r="C82" s="182"/>
      <c r="D82" s="183">
        <f>SUM(D58+D61+D65+D71+D75+D78+D80)</f>
        <v>97198.75</v>
      </c>
      <c r="E82" s="183">
        <f>SUM(E65+E71+E75+E78+E80+E61+E58)</f>
        <v>97950.37</v>
      </c>
      <c r="F82" s="184">
        <f>SUM(F58+F65+F71+F75+F78+F80+F61)</f>
        <v>464</v>
      </c>
      <c r="G82" s="181"/>
    </row>
    <row r="83" spans="2:7">
      <c r="B83" s="63"/>
      <c r="C83" s="64"/>
      <c r="D83" s="185"/>
      <c r="E83" s="185"/>
      <c r="F83" s="186"/>
    </row>
    <row r="84" spans="2:7">
      <c r="B84" s="65"/>
    </row>
    <row r="85" spans="2:7">
      <c r="B85" s="65" t="s">
        <v>484</v>
      </c>
      <c r="C85"/>
      <c r="D85"/>
      <c r="E85"/>
      <c r="F85"/>
    </row>
    <row r="86" spans="2:7">
      <c r="B86" s="65"/>
      <c r="C86"/>
      <c r="D86"/>
      <c r="E86"/>
      <c r="F86"/>
    </row>
    <row r="87" spans="2:7">
      <c r="B87" t="s">
        <v>485</v>
      </c>
      <c r="C87"/>
      <c r="D87"/>
      <c r="E87"/>
      <c r="F87"/>
    </row>
    <row r="88" spans="2:7">
      <c r="B88" s="40" t="s">
        <v>483</v>
      </c>
      <c r="C88"/>
      <c r="D88"/>
      <c r="E88"/>
      <c r="F88"/>
    </row>
    <row r="89" spans="2:7">
      <c r="B89" s="40"/>
      <c r="C89"/>
      <c r="D89"/>
      <c r="E89"/>
      <c r="F89"/>
    </row>
    <row r="90" spans="2:7">
      <c r="B90" t="s">
        <v>129</v>
      </c>
      <c r="C90"/>
      <c r="D90"/>
      <c r="E90"/>
      <c r="F90"/>
    </row>
    <row r="91" spans="2:7" ht="15.75" customHeight="1">
      <c r="B91" s="315"/>
      <c r="C91" s="315"/>
      <c r="D91" s="315"/>
      <c r="E91"/>
      <c r="F91"/>
    </row>
    <row r="92" spans="2:7">
      <c r="B92" t="s">
        <v>130</v>
      </c>
      <c r="C92"/>
      <c r="D92"/>
      <c r="E92"/>
      <c r="F92"/>
    </row>
    <row r="93" spans="2:7">
      <c r="C93"/>
      <c r="D93"/>
      <c r="E93"/>
      <c r="F93"/>
    </row>
  </sheetData>
  <mergeCells count="16">
    <mergeCell ref="B91:D91"/>
    <mergeCell ref="B59:B60"/>
    <mergeCell ref="B62:G62"/>
    <mergeCell ref="B66:B70"/>
    <mergeCell ref="B72:B74"/>
    <mergeCell ref="B76:B77"/>
    <mergeCell ref="B81:G81"/>
    <mergeCell ref="B4:G4"/>
    <mergeCell ref="B5:G5"/>
    <mergeCell ref="B6:G6"/>
    <mergeCell ref="B8:B57"/>
    <mergeCell ref="C17:C18"/>
    <mergeCell ref="C20:C21"/>
    <mergeCell ref="C22:C23"/>
    <mergeCell ref="C24:C25"/>
    <mergeCell ref="C27:C28"/>
  </mergeCells>
  <pageMargins left="0.7" right="0.7" top="0.75" bottom="0.75" header="0.3" footer="0.3"/>
  <ignoredErrors>
    <ignoredError sqref="E58 E6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opLeftCell="A63" workbookViewId="0">
      <selection activeCell="B77" sqref="B77"/>
    </sheetView>
  </sheetViews>
  <sheetFormatPr defaultColWidth="9.140625" defaultRowHeight="15"/>
  <cols>
    <col min="1" max="1" width="3.42578125" customWidth="1"/>
    <col min="2" max="2" width="45.140625" customWidth="1"/>
    <col min="3" max="3" width="31.140625" style="42" customWidth="1"/>
    <col min="4" max="4" width="16.7109375" style="42" customWidth="1"/>
    <col min="5" max="5" width="24.85546875" style="22" customWidth="1"/>
    <col min="6" max="6" width="15.28515625" style="42" customWidth="1"/>
    <col min="7" max="7" width="34.42578125" customWidth="1"/>
  </cols>
  <sheetData>
    <row r="1" spans="2:7" ht="30" customHeight="1">
      <c r="B1" s="41" t="s">
        <v>0</v>
      </c>
    </row>
    <row r="2" spans="2:7" ht="25.5" customHeight="1">
      <c r="B2" s="118" t="s">
        <v>250</v>
      </c>
      <c r="D2" s="71"/>
      <c r="E2" s="71"/>
    </row>
    <row r="3" spans="2:7" ht="12.75" customHeight="1">
      <c r="B3" s="41"/>
      <c r="D3" s="71"/>
      <c r="E3" s="71"/>
    </row>
    <row r="4" spans="2:7" ht="32.25" customHeight="1">
      <c r="B4" s="288" t="s">
        <v>251</v>
      </c>
      <c r="C4" s="288"/>
      <c r="D4" s="288"/>
      <c r="E4" s="288"/>
      <c r="F4" s="288"/>
      <c r="G4" s="288"/>
    </row>
    <row r="5" spans="2:7" ht="31.5" customHeight="1">
      <c r="B5" s="288" t="s">
        <v>252</v>
      </c>
      <c r="C5" s="288"/>
      <c r="D5" s="288"/>
      <c r="E5" s="288"/>
      <c r="F5" s="288"/>
      <c r="G5" s="288"/>
    </row>
    <row r="6" spans="2:7" ht="26.25" customHeight="1">
      <c r="B6" s="289" t="s">
        <v>2</v>
      </c>
      <c r="C6" s="289"/>
      <c r="D6" s="289"/>
      <c r="E6" s="289"/>
      <c r="F6" s="289"/>
      <c r="G6" s="289"/>
    </row>
    <row r="7" spans="2:7" ht="63.75" customHeight="1">
      <c r="B7" s="47" t="s">
        <v>3</v>
      </c>
      <c r="C7" s="119" t="s">
        <v>4</v>
      </c>
      <c r="D7" s="119" t="s">
        <v>5</v>
      </c>
      <c r="E7" s="119" t="s">
        <v>6</v>
      </c>
      <c r="F7" s="119" t="s">
        <v>7</v>
      </c>
      <c r="G7" s="119" t="s">
        <v>8</v>
      </c>
    </row>
    <row r="8" spans="2:7" ht="36.75" customHeight="1">
      <c r="B8" s="390" t="s">
        <v>9</v>
      </c>
      <c r="C8" s="8" t="s">
        <v>253</v>
      </c>
      <c r="D8" s="120">
        <v>271.32</v>
      </c>
      <c r="E8" s="121">
        <v>2.5499999999999998</v>
      </c>
      <c r="F8" s="122">
        <v>3</v>
      </c>
      <c r="G8" s="26"/>
    </row>
    <row r="9" spans="2:7" ht="36.75" customHeight="1">
      <c r="B9" s="390"/>
      <c r="C9" s="8" t="s">
        <v>254</v>
      </c>
      <c r="D9" s="120">
        <v>428.4</v>
      </c>
      <c r="E9" s="121">
        <v>2.5499999999999998</v>
      </c>
      <c r="F9" s="122">
        <v>2</v>
      </c>
      <c r="G9" s="26"/>
    </row>
    <row r="10" spans="2:7" ht="36.75" customHeight="1">
      <c r="B10" s="390"/>
      <c r="C10" s="8" t="s">
        <v>255</v>
      </c>
      <c r="D10" s="120">
        <v>467.1</v>
      </c>
      <c r="E10" s="121">
        <v>1.8</v>
      </c>
      <c r="F10" s="122">
        <v>8</v>
      </c>
      <c r="G10" s="26"/>
    </row>
    <row r="11" spans="2:7" ht="36.75" customHeight="1">
      <c r="B11" s="390"/>
      <c r="C11" s="8" t="s">
        <v>256</v>
      </c>
      <c r="D11" s="120">
        <v>186.54</v>
      </c>
      <c r="E11" s="121">
        <v>2.5499999999999998</v>
      </c>
      <c r="F11" s="122">
        <v>5</v>
      </c>
      <c r="G11" s="26"/>
    </row>
    <row r="12" spans="2:7" ht="36.75" customHeight="1">
      <c r="B12" s="390"/>
      <c r="C12" s="8" t="s">
        <v>257</v>
      </c>
      <c r="D12" s="123">
        <v>61.56</v>
      </c>
      <c r="E12" s="124">
        <v>1.8</v>
      </c>
      <c r="F12" s="125">
        <v>2</v>
      </c>
      <c r="G12" s="26"/>
    </row>
    <row r="13" spans="2:7" ht="36.75" customHeight="1">
      <c r="B13" s="390"/>
      <c r="C13" s="8" t="s">
        <v>257</v>
      </c>
      <c r="D13" s="120">
        <v>865.47</v>
      </c>
      <c r="E13" s="121">
        <v>3.39</v>
      </c>
      <c r="F13" s="122">
        <v>4</v>
      </c>
      <c r="G13" s="26"/>
    </row>
    <row r="14" spans="2:7" ht="36.75" customHeight="1">
      <c r="B14" s="390"/>
      <c r="C14" s="8" t="s">
        <v>258</v>
      </c>
      <c r="D14" s="120">
        <v>993.69</v>
      </c>
      <c r="E14" s="121">
        <v>2.5499999999999998</v>
      </c>
      <c r="F14" s="122">
        <v>7</v>
      </c>
      <c r="G14" s="26"/>
    </row>
    <row r="15" spans="2:7" ht="36.75" customHeight="1">
      <c r="B15" s="390"/>
      <c r="C15" s="8" t="s">
        <v>259</v>
      </c>
      <c r="D15" s="120">
        <v>52.92</v>
      </c>
      <c r="E15" s="121">
        <v>1.8</v>
      </c>
      <c r="F15" s="122">
        <v>1</v>
      </c>
      <c r="G15" s="26"/>
    </row>
    <row r="16" spans="2:7" ht="36.75" customHeight="1">
      <c r="B16" s="390"/>
      <c r="C16" s="8" t="s">
        <v>260</v>
      </c>
      <c r="D16" s="120">
        <v>100.08</v>
      </c>
      <c r="E16" s="121">
        <v>1.8</v>
      </c>
      <c r="F16" s="122">
        <v>1</v>
      </c>
      <c r="G16" s="26"/>
    </row>
    <row r="17" spans="2:7" ht="36.75" customHeight="1">
      <c r="B17" s="390"/>
      <c r="C17" s="8" t="s">
        <v>261</v>
      </c>
      <c r="D17" s="120">
        <v>270.06</v>
      </c>
      <c r="E17" s="121">
        <v>2.5499999999999998</v>
      </c>
      <c r="F17" s="122">
        <v>7</v>
      </c>
      <c r="G17" s="26"/>
    </row>
    <row r="18" spans="2:7" ht="36.75" customHeight="1">
      <c r="B18" s="390"/>
      <c r="C18" s="8" t="s">
        <v>262</v>
      </c>
      <c r="D18" s="120">
        <v>3355.56</v>
      </c>
      <c r="E18" s="121">
        <v>1.8</v>
      </c>
      <c r="F18" s="122">
        <v>3</v>
      </c>
      <c r="G18" s="26"/>
    </row>
    <row r="19" spans="2:7" ht="36.75" customHeight="1">
      <c r="B19" s="390"/>
      <c r="C19" s="8" t="s">
        <v>262</v>
      </c>
      <c r="D19" s="120">
        <v>42.71</v>
      </c>
      <c r="E19" s="121">
        <v>3.39</v>
      </c>
      <c r="F19" s="122">
        <v>1</v>
      </c>
      <c r="G19" s="26"/>
    </row>
    <row r="20" spans="2:7" ht="36.75" customHeight="1">
      <c r="B20" s="390"/>
      <c r="C20" s="8" t="s">
        <v>263</v>
      </c>
      <c r="D20" s="120">
        <v>532.83000000000004</v>
      </c>
      <c r="E20" s="121">
        <v>2.5499999999999998</v>
      </c>
      <c r="F20" s="122">
        <v>7</v>
      </c>
      <c r="G20" s="26"/>
    </row>
    <row r="21" spans="2:7" ht="36.75" customHeight="1">
      <c r="B21" s="390"/>
      <c r="C21" s="8" t="s">
        <v>264</v>
      </c>
      <c r="D21" s="120">
        <v>2218.15</v>
      </c>
      <c r="E21" s="121">
        <v>2.5499999999999998</v>
      </c>
      <c r="F21" s="122">
        <v>10</v>
      </c>
      <c r="G21" s="26"/>
    </row>
    <row r="22" spans="2:7" ht="36.75" customHeight="1">
      <c r="B22" s="390"/>
      <c r="C22" s="8" t="s">
        <v>265</v>
      </c>
      <c r="D22" s="120">
        <v>30.24</v>
      </c>
      <c r="E22" s="121">
        <v>1.8</v>
      </c>
      <c r="F22" s="122">
        <v>1</v>
      </c>
      <c r="G22" s="26"/>
    </row>
    <row r="23" spans="2:7" ht="36.75" customHeight="1">
      <c r="B23" s="390"/>
      <c r="C23" s="8" t="s">
        <v>265</v>
      </c>
      <c r="D23" s="120">
        <v>132.88999999999999</v>
      </c>
      <c r="E23" s="121">
        <v>3.39</v>
      </c>
      <c r="F23" s="122">
        <v>2</v>
      </c>
      <c r="G23" s="26"/>
    </row>
    <row r="24" spans="2:7" ht="36.75" customHeight="1">
      <c r="B24" s="390"/>
      <c r="C24" s="8" t="s">
        <v>266</v>
      </c>
      <c r="D24" s="120">
        <v>72.900000000000006</v>
      </c>
      <c r="E24" s="121">
        <v>1.8</v>
      </c>
      <c r="F24" s="122">
        <v>2</v>
      </c>
      <c r="G24" s="26"/>
    </row>
    <row r="25" spans="2:7" ht="36.75" customHeight="1">
      <c r="B25" s="390"/>
      <c r="C25" s="8" t="s">
        <v>267</v>
      </c>
      <c r="D25" s="120">
        <v>0</v>
      </c>
      <c r="E25" s="121">
        <v>1.8</v>
      </c>
      <c r="F25" s="122">
        <v>1</v>
      </c>
      <c r="G25" s="26"/>
    </row>
    <row r="26" spans="2:7" ht="36.75" customHeight="1">
      <c r="B26" s="390"/>
      <c r="C26" s="8" t="s">
        <v>268</v>
      </c>
      <c r="D26" s="120">
        <v>171.36</v>
      </c>
      <c r="E26" s="121">
        <v>2.5499999999999998</v>
      </c>
      <c r="F26" s="122">
        <v>1</v>
      </c>
      <c r="G26" s="26"/>
    </row>
    <row r="27" spans="2:7" ht="36.75" customHeight="1">
      <c r="B27" s="390"/>
      <c r="C27" s="8" t="s">
        <v>269</v>
      </c>
      <c r="D27" s="120">
        <v>564.96</v>
      </c>
      <c r="E27" s="121">
        <v>2.5499999999999998</v>
      </c>
      <c r="F27" s="122">
        <v>5</v>
      </c>
      <c r="G27" s="26"/>
    </row>
    <row r="28" spans="2:7" ht="36.75" customHeight="1">
      <c r="B28" s="390"/>
      <c r="C28" s="8" t="s">
        <v>270</v>
      </c>
      <c r="D28" s="120">
        <v>2607.8000000000002</v>
      </c>
      <c r="E28" s="121">
        <v>2.85</v>
      </c>
      <c r="F28" s="122">
        <v>11</v>
      </c>
      <c r="G28" s="26"/>
    </row>
    <row r="29" spans="2:7" ht="36.75" customHeight="1">
      <c r="B29" s="390"/>
      <c r="C29" s="8" t="s">
        <v>271</v>
      </c>
      <c r="D29" s="120">
        <v>364.14</v>
      </c>
      <c r="E29" s="121">
        <v>2.5499999999999998</v>
      </c>
      <c r="F29" s="122">
        <v>3</v>
      </c>
      <c r="G29" s="26"/>
    </row>
    <row r="30" spans="2:7" ht="36.75" customHeight="1">
      <c r="B30" s="390"/>
      <c r="C30" s="8" t="s">
        <v>272</v>
      </c>
      <c r="D30" s="120">
        <v>1038.0999999999999</v>
      </c>
      <c r="E30" s="121">
        <v>2.5499999999999998</v>
      </c>
      <c r="F30" s="26">
        <v>10</v>
      </c>
      <c r="G30" s="126"/>
    </row>
    <row r="31" spans="2:7" ht="36.75" customHeight="1">
      <c r="B31" s="390"/>
      <c r="C31" s="8" t="s">
        <v>273</v>
      </c>
      <c r="D31" s="120">
        <v>22.68</v>
      </c>
      <c r="E31" s="121">
        <v>1.8</v>
      </c>
      <c r="F31" s="122">
        <v>1</v>
      </c>
      <c r="G31" s="47"/>
    </row>
    <row r="32" spans="2:7" ht="36.75" customHeight="1">
      <c r="B32" s="390"/>
      <c r="C32" s="8" t="s">
        <v>274</v>
      </c>
      <c r="D32" s="120">
        <v>31.32</v>
      </c>
      <c r="E32" s="121">
        <v>1.8</v>
      </c>
      <c r="F32" s="122">
        <v>2</v>
      </c>
      <c r="G32" s="26"/>
    </row>
    <row r="33" spans="2:10" ht="36.75" customHeight="1">
      <c r="B33" s="390"/>
      <c r="C33" s="8" t="s">
        <v>275</v>
      </c>
      <c r="D33" s="120">
        <v>53.82</v>
      </c>
      <c r="E33" s="121">
        <v>1.8</v>
      </c>
      <c r="F33" s="122">
        <v>4</v>
      </c>
      <c r="G33" s="26"/>
    </row>
    <row r="34" spans="2:10" ht="36.75" customHeight="1">
      <c r="B34" s="390"/>
      <c r="C34" s="8" t="s">
        <v>276</v>
      </c>
      <c r="D34" s="120">
        <v>1157.7</v>
      </c>
      <c r="E34" s="121">
        <v>2.5499999999999998</v>
      </c>
      <c r="F34" s="122">
        <v>2</v>
      </c>
      <c r="G34" s="47"/>
    </row>
    <row r="35" spans="2:10" ht="36.75" customHeight="1">
      <c r="B35" s="390"/>
      <c r="C35" s="8" t="s">
        <v>277</v>
      </c>
      <c r="D35" s="120">
        <v>1258.56</v>
      </c>
      <c r="E35" s="121">
        <v>2.85</v>
      </c>
      <c r="F35" s="122">
        <v>4</v>
      </c>
      <c r="G35" s="26"/>
    </row>
    <row r="36" spans="2:10" ht="36.75" customHeight="1">
      <c r="B36" s="390"/>
      <c r="C36" s="8" t="s">
        <v>278</v>
      </c>
      <c r="D36" s="120">
        <v>921.57</v>
      </c>
      <c r="E36" s="121">
        <v>2.5499999999999998</v>
      </c>
      <c r="F36" s="122">
        <v>5</v>
      </c>
      <c r="G36" s="26"/>
    </row>
    <row r="37" spans="2:10" ht="36.75" customHeight="1">
      <c r="B37" s="390"/>
      <c r="C37" s="8" t="s">
        <v>279</v>
      </c>
      <c r="D37" s="120">
        <v>1028.57</v>
      </c>
      <c r="E37" s="121">
        <v>2.85</v>
      </c>
      <c r="F37" s="122">
        <v>8</v>
      </c>
      <c r="G37" s="26"/>
    </row>
    <row r="38" spans="2:10" ht="36.75" customHeight="1">
      <c r="B38" s="390"/>
      <c r="C38" s="8" t="s">
        <v>280</v>
      </c>
      <c r="D38" s="120">
        <v>20.25</v>
      </c>
      <c r="E38" s="121">
        <v>1.8</v>
      </c>
      <c r="F38" s="122">
        <v>1</v>
      </c>
      <c r="G38" s="26"/>
    </row>
    <row r="39" spans="2:10" ht="36.75" customHeight="1">
      <c r="B39" s="390"/>
      <c r="C39" s="8" t="s">
        <v>281</v>
      </c>
      <c r="D39" s="120">
        <v>967.47</v>
      </c>
      <c r="E39" s="121">
        <v>2.5499999999999998</v>
      </c>
      <c r="F39" s="122">
        <v>6</v>
      </c>
      <c r="G39" s="26"/>
    </row>
    <row r="40" spans="2:10" ht="36.75" customHeight="1">
      <c r="B40" s="390"/>
      <c r="C40" s="8" t="s">
        <v>282</v>
      </c>
      <c r="D40" s="91">
        <v>99.67</v>
      </c>
      <c r="E40" s="121">
        <v>3.39</v>
      </c>
      <c r="F40" s="8">
        <v>1</v>
      </c>
      <c r="G40" s="47"/>
    </row>
    <row r="41" spans="2:10" ht="29.25" customHeight="1">
      <c r="B41" s="390"/>
      <c r="C41" s="8" t="s">
        <v>283</v>
      </c>
      <c r="D41" s="91">
        <v>2196.5</v>
      </c>
      <c r="E41" s="121">
        <v>2.85</v>
      </c>
      <c r="F41" s="26">
        <v>2</v>
      </c>
      <c r="G41" s="47"/>
    </row>
    <row r="42" spans="2:10" ht="45" customHeight="1">
      <c r="B42" s="49" t="s">
        <v>50</v>
      </c>
      <c r="C42" s="8"/>
      <c r="D42" s="48">
        <f>SUM(D8:D41)</f>
        <v>22586.89</v>
      </c>
      <c r="E42" s="133">
        <f>SUM(E8:E41)</f>
        <v>82.259999999999948</v>
      </c>
      <c r="F42" s="47">
        <f>SUM(F8:F41)</f>
        <v>133</v>
      </c>
      <c r="G42" s="52"/>
    </row>
    <row r="43" spans="2:10" ht="42.75" customHeight="1">
      <c r="B43" s="311" t="s">
        <v>51</v>
      </c>
      <c r="C43" s="122" t="s">
        <v>284</v>
      </c>
      <c r="D43" s="91">
        <v>1902.7</v>
      </c>
      <c r="E43" s="121">
        <v>113</v>
      </c>
      <c r="F43" s="26">
        <v>40</v>
      </c>
      <c r="G43" s="127" t="s">
        <v>285</v>
      </c>
    </row>
    <row r="44" spans="2:10" ht="35.25" customHeight="1">
      <c r="B44" s="312"/>
      <c r="C44" s="122" t="s">
        <v>286</v>
      </c>
      <c r="D44" s="91">
        <v>0</v>
      </c>
      <c r="E44" s="121">
        <v>31.7</v>
      </c>
      <c r="F44" s="26">
        <v>1</v>
      </c>
      <c r="G44" s="127" t="s">
        <v>287</v>
      </c>
    </row>
    <row r="45" spans="2:10" ht="39" customHeight="1">
      <c r="B45" s="312"/>
      <c r="C45" s="122" t="s">
        <v>288</v>
      </c>
      <c r="D45" s="91">
        <v>0</v>
      </c>
      <c r="E45" s="127">
        <v>0</v>
      </c>
      <c r="F45" s="26">
        <v>0</v>
      </c>
      <c r="G45" s="127" t="s">
        <v>301</v>
      </c>
    </row>
    <row r="46" spans="2:10" ht="34.5" customHeight="1">
      <c r="B46" s="312"/>
      <c r="C46" s="122" t="s">
        <v>289</v>
      </c>
      <c r="D46" s="91">
        <v>0</v>
      </c>
      <c r="E46" s="121">
        <v>16.5</v>
      </c>
      <c r="F46" s="26">
        <v>0</v>
      </c>
      <c r="G46" s="127" t="s">
        <v>290</v>
      </c>
    </row>
    <row r="47" spans="2:10" ht="42" customHeight="1">
      <c r="B47" s="312"/>
      <c r="C47" s="122" t="s">
        <v>291</v>
      </c>
      <c r="D47" s="91">
        <v>0</v>
      </c>
      <c r="E47" s="121">
        <v>47.5</v>
      </c>
      <c r="F47" s="26">
        <v>2</v>
      </c>
      <c r="G47" s="127" t="s">
        <v>292</v>
      </c>
      <c r="H47" s="54"/>
      <c r="I47" s="54"/>
      <c r="J47" s="54"/>
    </row>
    <row r="48" spans="2:10" ht="42" customHeight="1">
      <c r="B48" s="391"/>
      <c r="C48" s="122" t="s">
        <v>293</v>
      </c>
      <c r="D48" s="91">
        <v>16.5</v>
      </c>
      <c r="E48" s="121">
        <v>16.5</v>
      </c>
      <c r="F48" s="26">
        <v>3</v>
      </c>
      <c r="G48" s="127" t="s">
        <v>290</v>
      </c>
      <c r="H48" s="54"/>
      <c r="I48" s="54"/>
      <c r="J48" s="54"/>
    </row>
    <row r="49" spans="1:10" ht="42" customHeight="1">
      <c r="B49" s="128"/>
      <c r="C49" s="122" t="s">
        <v>294</v>
      </c>
      <c r="D49" s="91">
        <v>0</v>
      </c>
      <c r="E49" s="121">
        <v>16.5</v>
      </c>
      <c r="F49" s="26">
        <v>1</v>
      </c>
      <c r="G49" s="127" t="s">
        <v>290</v>
      </c>
      <c r="H49" s="54"/>
      <c r="I49" s="54"/>
      <c r="J49" s="54"/>
    </row>
    <row r="50" spans="1:10" ht="34.5" customHeight="1">
      <c r="B50" s="56" t="s">
        <v>50</v>
      </c>
      <c r="C50" s="119"/>
      <c r="D50" s="48">
        <f>SUM(D43:D49)</f>
        <v>1919.2</v>
      </c>
      <c r="E50" s="133">
        <f>SUM(E43:E49)</f>
        <v>241.7</v>
      </c>
      <c r="F50" s="47">
        <f>SUM(F43:F49)</f>
        <v>47</v>
      </c>
      <c r="G50" s="52"/>
      <c r="H50" s="54"/>
      <c r="I50" s="54"/>
      <c r="J50" s="54"/>
    </row>
    <row r="51" spans="1:10" ht="31.5" customHeight="1">
      <c r="B51" s="309" t="s">
        <v>54</v>
      </c>
      <c r="C51" s="309"/>
      <c r="D51" s="309"/>
      <c r="E51" s="309"/>
      <c r="F51" s="309"/>
      <c r="G51" s="310"/>
    </row>
    <row r="52" spans="1:10" ht="65.25" customHeight="1">
      <c r="A52" s="22"/>
      <c r="B52" s="119" t="s">
        <v>3</v>
      </c>
      <c r="C52" s="119" t="s">
        <v>55</v>
      </c>
      <c r="D52" s="119" t="s">
        <v>5</v>
      </c>
      <c r="E52" s="119" t="s">
        <v>56</v>
      </c>
      <c r="F52" s="119" t="s">
        <v>7</v>
      </c>
      <c r="G52" s="119" t="s">
        <v>57</v>
      </c>
    </row>
    <row r="53" spans="1:10" ht="33" customHeight="1">
      <c r="B53" s="387" t="s">
        <v>58</v>
      </c>
      <c r="C53" s="8" t="s">
        <v>295</v>
      </c>
      <c r="D53" s="91">
        <v>0</v>
      </c>
      <c r="E53" s="91">
        <v>0</v>
      </c>
      <c r="F53" s="106">
        <v>1</v>
      </c>
      <c r="G53" s="134" t="s">
        <v>301</v>
      </c>
    </row>
    <row r="54" spans="1:10" ht="33" customHeight="1">
      <c r="B54" s="388"/>
      <c r="C54" s="8" t="s">
        <v>296</v>
      </c>
      <c r="D54" s="91">
        <v>0</v>
      </c>
      <c r="E54" s="91">
        <v>0</v>
      </c>
      <c r="F54" s="106">
        <v>1</v>
      </c>
      <c r="G54" s="134" t="s">
        <v>301</v>
      </c>
    </row>
    <row r="55" spans="1:10" ht="33" customHeight="1">
      <c r="B55" s="389"/>
      <c r="C55" s="8" t="s">
        <v>297</v>
      </c>
      <c r="D55" s="91">
        <v>0</v>
      </c>
      <c r="E55" s="91">
        <v>0</v>
      </c>
      <c r="F55" s="106">
        <v>1</v>
      </c>
      <c r="G55" s="134" t="s">
        <v>301</v>
      </c>
    </row>
    <row r="56" spans="1:10" ht="21.75" customHeight="1">
      <c r="B56" s="61" t="s">
        <v>50</v>
      </c>
      <c r="C56" s="50"/>
      <c r="D56" s="48">
        <f>SUM(D53:D55)</f>
        <v>0</v>
      </c>
      <c r="E56" s="48">
        <f>SUM(E53:E55)</f>
        <v>0</v>
      </c>
      <c r="F56" s="105">
        <f>SUM(F53:F55)</f>
        <v>3</v>
      </c>
      <c r="G56" s="18"/>
    </row>
    <row r="57" spans="1:10" ht="27.75" customHeight="1">
      <c r="B57" s="311" t="s">
        <v>59</v>
      </c>
      <c r="C57" s="8" t="s">
        <v>298</v>
      </c>
      <c r="D57" s="91">
        <v>2153.34</v>
      </c>
      <c r="E57" s="91">
        <v>2603</v>
      </c>
      <c r="F57" s="106">
        <v>55</v>
      </c>
      <c r="G57" s="129"/>
    </row>
    <row r="58" spans="1:10" ht="28.5" customHeight="1">
      <c r="B58" s="313"/>
      <c r="C58" s="8" t="s">
        <v>299</v>
      </c>
      <c r="D58" s="91">
        <v>1193.8</v>
      </c>
      <c r="E58" s="91">
        <f>40*30.48</f>
        <v>1219.2</v>
      </c>
      <c r="F58" s="106">
        <v>40</v>
      </c>
      <c r="G58" s="18"/>
      <c r="I58" s="130"/>
    </row>
    <row r="59" spans="1:10" ht="29.25" customHeight="1">
      <c r="B59" s="61" t="s">
        <v>50</v>
      </c>
      <c r="C59" s="59"/>
      <c r="D59" s="48">
        <f>D57+D58</f>
        <v>3347.1400000000003</v>
      </c>
      <c r="E59" s="48">
        <f>E57+E58</f>
        <v>3822.2</v>
      </c>
      <c r="F59" s="131">
        <f>F57+F58</f>
        <v>95</v>
      </c>
      <c r="G59" s="18"/>
    </row>
    <row r="60" spans="1:10" ht="24" customHeight="1">
      <c r="B60" s="56" t="s">
        <v>61</v>
      </c>
      <c r="C60" s="45"/>
      <c r="D60" s="45"/>
      <c r="E60" s="45"/>
      <c r="F60" s="131"/>
      <c r="G60" s="18"/>
    </row>
    <row r="61" spans="1:10" ht="27" customHeight="1">
      <c r="B61" s="61" t="s">
        <v>50</v>
      </c>
      <c r="C61" s="50"/>
      <c r="D61" s="50">
        <v>0</v>
      </c>
      <c r="E61" s="50"/>
      <c r="F61" s="105">
        <v>0</v>
      </c>
      <c r="G61" s="18"/>
    </row>
    <row r="62" spans="1:10" ht="33" customHeight="1">
      <c r="B62" s="56" t="s">
        <v>62</v>
      </c>
      <c r="C62" s="45"/>
      <c r="D62" s="45"/>
      <c r="E62" s="45"/>
      <c r="F62" s="131"/>
      <c r="G62" s="18"/>
    </row>
    <row r="63" spans="1:10" ht="24.75" customHeight="1">
      <c r="B63" s="61" t="s">
        <v>50</v>
      </c>
      <c r="C63" s="50"/>
      <c r="D63" s="50">
        <v>0</v>
      </c>
      <c r="E63" s="50"/>
      <c r="F63" s="105">
        <v>0</v>
      </c>
      <c r="G63" s="18"/>
    </row>
    <row r="64" spans="1:10" ht="30.75" customHeight="1">
      <c r="B64" s="56" t="s">
        <v>69</v>
      </c>
      <c r="C64" s="60"/>
      <c r="D64" s="45"/>
      <c r="E64" s="45"/>
      <c r="F64" s="106"/>
      <c r="G64" s="18"/>
    </row>
    <row r="65" spans="2:7" ht="15.75">
      <c r="B65" s="61" t="s">
        <v>50</v>
      </c>
      <c r="C65" s="50"/>
      <c r="D65" s="50">
        <v>0</v>
      </c>
      <c r="E65" s="50"/>
      <c r="F65" s="105">
        <v>0</v>
      </c>
      <c r="G65" s="18"/>
    </row>
    <row r="66" spans="2:7" ht="17.25" customHeight="1">
      <c r="B66" s="314"/>
      <c r="C66" s="314"/>
      <c r="D66" s="314"/>
      <c r="E66" s="314"/>
      <c r="F66" s="314"/>
      <c r="G66" s="314"/>
    </row>
    <row r="67" spans="2:7" ht="33" customHeight="1">
      <c r="B67" s="56" t="s">
        <v>300</v>
      </c>
      <c r="C67" s="59"/>
      <c r="D67" s="132">
        <f>SUM(D42+D50+D56+D59+D61+D63+D65)</f>
        <v>27853.23</v>
      </c>
      <c r="E67" s="132">
        <f>SUM(E42+E50+E56+E59+E61+E63+E65)</f>
        <v>4146.16</v>
      </c>
      <c r="F67" s="62">
        <f>SUM(F42+F50+F56+F59+F61+F63+F65)</f>
        <v>278</v>
      </c>
      <c r="G67" s="18"/>
    </row>
    <row r="68" spans="2:7">
      <c r="B68" s="63"/>
      <c r="C68" s="64"/>
      <c r="D68" s="64"/>
      <c r="E68" s="64"/>
      <c r="F68" s="64"/>
    </row>
    <row r="69" spans="2:7">
      <c r="B69" s="63"/>
      <c r="C69" s="64"/>
      <c r="D69" s="64"/>
      <c r="E69" s="64"/>
      <c r="F69" s="64"/>
    </row>
    <row r="70" spans="2:7">
      <c r="B70" s="65" t="s">
        <v>304</v>
      </c>
    </row>
    <row r="71" spans="2:7">
      <c r="B71" s="65"/>
    </row>
    <row r="72" spans="2:7">
      <c r="B72" s="40" t="s">
        <v>302</v>
      </c>
    </row>
    <row r="73" spans="2:7">
      <c r="B73" s="40" t="s">
        <v>303</v>
      </c>
    </row>
    <row r="74" spans="2:7">
      <c r="B74" s="40"/>
    </row>
    <row r="75" spans="2:7">
      <c r="B75" t="s">
        <v>129</v>
      </c>
    </row>
    <row r="76" spans="2:7">
      <c r="B76" s="315"/>
      <c r="C76" s="315"/>
      <c r="D76" s="315"/>
    </row>
    <row r="77" spans="2:7">
      <c r="B77" t="s">
        <v>130</v>
      </c>
    </row>
    <row r="78" spans="2:7" ht="15.75" customHeight="1"/>
  </sheetData>
  <mergeCells count="10">
    <mergeCell ref="B53:B55"/>
    <mergeCell ref="B57:B58"/>
    <mergeCell ref="B66:G66"/>
    <mergeCell ref="B76:D76"/>
    <mergeCell ref="B4:G4"/>
    <mergeCell ref="B5:G5"/>
    <mergeCell ref="B6:G6"/>
    <mergeCell ref="B8:B41"/>
    <mergeCell ref="B43:B48"/>
    <mergeCell ref="B51:G5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opLeftCell="A62" zoomScale="90" zoomScaleNormal="90" workbookViewId="0">
      <selection activeCell="A81" sqref="A81"/>
    </sheetView>
  </sheetViews>
  <sheetFormatPr defaultColWidth="9.140625" defaultRowHeight="15"/>
  <cols>
    <col min="1" max="1" width="48.42578125" customWidth="1"/>
    <col min="2" max="2" width="59.7109375" customWidth="1"/>
    <col min="3" max="3" width="16.7109375" customWidth="1"/>
    <col min="4" max="4" width="24.85546875" customWidth="1"/>
    <col min="5" max="5" width="15.28515625" customWidth="1"/>
    <col min="6" max="6" width="47.42578125" customWidth="1"/>
    <col min="8" max="8" width="10.85546875" customWidth="1"/>
    <col min="9" max="9" width="10.7109375" customWidth="1"/>
  </cols>
  <sheetData>
    <row r="1" spans="1:11" ht="30" customHeight="1">
      <c r="A1" s="1" t="s">
        <v>0</v>
      </c>
    </row>
    <row r="2" spans="1:11" ht="25.5" customHeight="1">
      <c r="A2" s="1" t="s">
        <v>250</v>
      </c>
      <c r="C2" s="2"/>
      <c r="D2" s="2"/>
    </row>
    <row r="3" spans="1:11" ht="12.75" customHeight="1">
      <c r="A3" s="1"/>
      <c r="C3" s="2"/>
      <c r="D3" s="2"/>
    </row>
    <row r="4" spans="1:11" ht="32.25" customHeight="1">
      <c r="A4" s="342" t="s">
        <v>369</v>
      </c>
      <c r="B4" s="342"/>
      <c r="C4" s="342"/>
      <c r="D4" s="342"/>
      <c r="E4" s="342"/>
      <c r="F4" s="342"/>
    </row>
    <row r="5" spans="1:11" ht="31.5" customHeight="1">
      <c r="A5" s="342" t="s">
        <v>370</v>
      </c>
      <c r="B5" s="342"/>
      <c r="C5" s="342"/>
      <c r="D5" s="342"/>
      <c r="E5" s="342"/>
      <c r="F5" s="342"/>
    </row>
    <row r="6" spans="1:11" ht="26.25" customHeight="1">
      <c r="A6" s="343" t="s">
        <v>2</v>
      </c>
      <c r="B6" s="343"/>
      <c r="C6" s="343"/>
      <c r="D6" s="343"/>
      <c r="E6" s="343"/>
      <c r="F6" s="343"/>
      <c r="K6" s="30"/>
    </row>
    <row r="7" spans="1:11" ht="63.75" customHeight="1">
      <c r="A7" s="11" t="s">
        <v>3</v>
      </c>
      <c r="B7" s="23" t="s">
        <v>4</v>
      </c>
      <c r="C7" s="23" t="s">
        <v>5</v>
      </c>
      <c r="D7" s="23" t="s">
        <v>6</v>
      </c>
      <c r="E7" s="23" t="s">
        <v>7</v>
      </c>
      <c r="F7" s="23" t="s">
        <v>8</v>
      </c>
    </row>
    <row r="8" spans="1:11" ht="36.75" customHeight="1">
      <c r="A8" s="392" t="s">
        <v>73</v>
      </c>
      <c r="B8" s="8" t="s">
        <v>371</v>
      </c>
      <c r="C8" s="147">
        <f>696.6+10.8</f>
        <v>707.4</v>
      </c>
      <c r="D8" s="147">
        <v>1.8</v>
      </c>
      <c r="E8" s="8">
        <v>2</v>
      </c>
      <c r="F8" s="26"/>
    </row>
    <row r="9" spans="1:11" ht="36.75" customHeight="1">
      <c r="A9" s="392"/>
      <c r="B9" s="8" t="s">
        <v>372</v>
      </c>
      <c r="C9" s="147">
        <f>854.3+17.8</f>
        <v>872.09999999999991</v>
      </c>
      <c r="D9" s="147">
        <v>3</v>
      </c>
      <c r="E9" s="8">
        <v>6</v>
      </c>
      <c r="F9" s="26"/>
    </row>
    <row r="10" spans="1:11" ht="45">
      <c r="A10" s="392"/>
      <c r="B10" s="8" t="s">
        <v>373</v>
      </c>
      <c r="C10" s="147">
        <f>698.4+525.6</f>
        <v>1224</v>
      </c>
      <c r="D10" s="147">
        <v>3</v>
      </c>
      <c r="E10" s="8">
        <v>3</v>
      </c>
      <c r="F10" s="26"/>
    </row>
    <row r="11" spans="1:11" ht="36.75" customHeight="1">
      <c r="A11" s="392"/>
      <c r="B11" s="8" t="s">
        <v>374</v>
      </c>
      <c r="C11" s="147">
        <f>88.2+19.2</f>
        <v>107.4</v>
      </c>
      <c r="D11" s="147">
        <v>3</v>
      </c>
      <c r="E11" s="8">
        <v>3</v>
      </c>
      <c r="F11" s="26"/>
      <c r="H11" s="148"/>
      <c r="I11" s="148"/>
      <c r="J11" s="148"/>
    </row>
    <row r="12" spans="1:11" ht="36.75" customHeight="1">
      <c r="A12" s="392"/>
      <c r="B12" s="8" t="s">
        <v>375</v>
      </c>
      <c r="C12" s="147">
        <v>87</v>
      </c>
      <c r="D12" s="147">
        <v>3</v>
      </c>
      <c r="E12" s="8">
        <v>2</v>
      </c>
      <c r="F12" s="26"/>
      <c r="H12" s="148"/>
      <c r="I12" s="148"/>
      <c r="J12" s="148"/>
    </row>
    <row r="13" spans="1:11" ht="36.75" customHeight="1">
      <c r="A13" s="392"/>
      <c r="B13" s="8" t="s">
        <v>376</v>
      </c>
      <c r="C13" s="147">
        <v>18.600000000000001</v>
      </c>
      <c r="D13" s="147">
        <v>3</v>
      </c>
      <c r="E13" s="8">
        <v>1</v>
      </c>
      <c r="F13" s="26"/>
      <c r="H13" s="148"/>
      <c r="I13" s="148"/>
      <c r="J13" s="148"/>
    </row>
    <row r="14" spans="1:11" ht="36.75" customHeight="1">
      <c r="A14" s="392"/>
      <c r="B14" s="8" t="s">
        <v>377</v>
      </c>
      <c r="C14" s="147">
        <f>319.2+88.2+27.9+27.9+126</f>
        <v>589.19999999999993</v>
      </c>
      <c r="D14" s="147">
        <v>3</v>
      </c>
      <c r="E14" s="8">
        <v>9</v>
      </c>
      <c r="F14" s="26"/>
      <c r="H14" s="148"/>
      <c r="I14" s="148"/>
      <c r="J14" s="148"/>
    </row>
    <row r="15" spans="1:11" ht="36.75" customHeight="1">
      <c r="A15" s="392"/>
      <c r="B15" s="8" t="s">
        <v>378</v>
      </c>
      <c r="C15" s="147">
        <f>789.6+117+518.4+423</f>
        <v>1848</v>
      </c>
      <c r="D15" s="147">
        <v>3</v>
      </c>
      <c r="E15" s="8">
        <v>4</v>
      </c>
      <c r="F15" s="26"/>
    </row>
    <row r="16" spans="1:11" ht="36.75" customHeight="1">
      <c r="A16" s="392"/>
      <c r="B16" s="8" t="s">
        <v>379</v>
      </c>
      <c r="C16" s="147">
        <v>429.3</v>
      </c>
      <c r="D16" s="147">
        <v>3</v>
      </c>
      <c r="E16" s="8">
        <v>2</v>
      </c>
      <c r="F16" s="26"/>
    </row>
    <row r="17" spans="1:9" ht="36.75" customHeight="1">
      <c r="A17" s="392"/>
      <c r="B17" s="8" t="s">
        <v>380</v>
      </c>
      <c r="C17" s="147">
        <v>33.799999999999997</v>
      </c>
      <c r="D17" s="147">
        <v>1.8</v>
      </c>
      <c r="E17" s="8">
        <v>2</v>
      </c>
      <c r="F17" s="26"/>
    </row>
    <row r="18" spans="1:9" ht="36.75" customHeight="1">
      <c r="A18" s="392"/>
      <c r="B18" s="8" t="s">
        <v>381</v>
      </c>
      <c r="C18" s="147">
        <f>38.9+11.9+37.1+11.9+47.5</f>
        <v>147.30000000000001</v>
      </c>
      <c r="D18" s="147">
        <v>3</v>
      </c>
      <c r="E18" s="8">
        <v>2</v>
      </c>
      <c r="F18" s="26"/>
    </row>
    <row r="19" spans="1:9" ht="36.75" customHeight="1">
      <c r="A19" s="392"/>
      <c r="B19" s="8" t="s">
        <v>382</v>
      </c>
      <c r="C19" s="147">
        <f>419.4+79.2+532.8+79.2</f>
        <v>1110.5999999999999</v>
      </c>
      <c r="D19" s="147">
        <v>3</v>
      </c>
      <c r="E19" s="8">
        <v>4</v>
      </c>
      <c r="F19" s="26"/>
    </row>
    <row r="20" spans="1:9" ht="36.75" customHeight="1">
      <c r="A20" s="392"/>
      <c r="B20" s="8" t="s">
        <v>383</v>
      </c>
      <c r="C20" s="147">
        <f>1677+22.7+76.8+307.2</f>
        <v>2083.6999999999998</v>
      </c>
      <c r="D20" s="147">
        <v>1.8</v>
      </c>
      <c r="E20" s="8">
        <v>5</v>
      </c>
      <c r="F20" s="26"/>
    </row>
    <row r="21" spans="1:9" ht="36.75" customHeight="1">
      <c r="A21" s="392"/>
      <c r="B21" s="149" t="s">
        <v>384</v>
      </c>
      <c r="C21" s="147">
        <f>42.1+168.5</f>
        <v>210.6</v>
      </c>
      <c r="D21" s="147">
        <v>1.8</v>
      </c>
      <c r="E21" s="8">
        <v>1</v>
      </c>
      <c r="F21" s="26"/>
    </row>
    <row r="22" spans="1:9" ht="47.25" customHeight="1">
      <c r="A22" s="392"/>
      <c r="B22" s="8" t="s">
        <v>385</v>
      </c>
      <c r="C22" s="147">
        <f>758.4+364.8+384</f>
        <v>1507.2</v>
      </c>
      <c r="D22" s="147">
        <v>3</v>
      </c>
      <c r="E22" s="8">
        <v>4</v>
      </c>
      <c r="F22" s="26"/>
    </row>
    <row r="23" spans="1:9" ht="36.75" customHeight="1">
      <c r="A23" s="392"/>
      <c r="B23" s="8" t="s">
        <v>386</v>
      </c>
      <c r="C23" s="147">
        <v>177.6</v>
      </c>
      <c r="D23" s="147">
        <v>3</v>
      </c>
      <c r="E23" s="8">
        <v>1</v>
      </c>
      <c r="F23" s="26"/>
    </row>
    <row r="24" spans="1:9" ht="36.75" customHeight="1">
      <c r="A24" s="392"/>
      <c r="B24" s="8" t="s">
        <v>387</v>
      </c>
      <c r="C24" s="147">
        <f>596.7+309.6</f>
        <v>906.30000000000007</v>
      </c>
      <c r="D24" s="147">
        <v>3</v>
      </c>
      <c r="E24" s="8">
        <v>4</v>
      </c>
      <c r="F24" s="26"/>
    </row>
    <row r="25" spans="1:9" ht="36.75" customHeight="1">
      <c r="A25" s="392"/>
      <c r="B25" s="8" t="s">
        <v>388</v>
      </c>
      <c r="C25" s="147">
        <f>46.1+11.9</f>
        <v>58</v>
      </c>
      <c r="D25" s="147">
        <v>1.8</v>
      </c>
      <c r="E25" s="8">
        <v>2</v>
      </c>
      <c r="F25" s="26"/>
    </row>
    <row r="26" spans="1:9" ht="36.75" customHeight="1">
      <c r="A26" s="392"/>
      <c r="B26" s="8" t="s">
        <v>389</v>
      </c>
      <c r="C26" s="147">
        <f>69.1+328.34</f>
        <v>397.43999999999994</v>
      </c>
      <c r="D26" s="147">
        <v>1.8</v>
      </c>
      <c r="E26" s="8">
        <v>1</v>
      </c>
      <c r="F26" s="26"/>
    </row>
    <row r="27" spans="1:9" ht="36.75" customHeight="1">
      <c r="A27" s="392"/>
      <c r="B27" s="8" t="s">
        <v>390</v>
      </c>
      <c r="C27" s="147">
        <f>45.7+11.9</f>
        <v>57.6</v>
      </c>
      <c r="D27" s="147">
        <v>1.8</v>
      </c>
      <c r="E27" s="8">
        <v>5</v>
      </c>
      <c r="F27" s="146"/>
    </row>
    <row r="28" spans="1:9" ht="36.75" customHeight="1">
      <c r="A28" s="392"/>
      <c r="B28" s="8" t="s">
        <v>391</v>
      </c>
      <c r="C28" s="147">
        <v>0</v>
      </c>
      <c r="D28" s="147">
        <v>1.8</v>
      </c>
      <c r="E28" s="8">
        <v>1</v>
      </c>
      <c r="F28" s="146" t="s">
        <v>392</v>
      </c>
    </row>
    <row r="29" spans="1:9" ht="36.75" customHeight="1">
      <c r="A29" s="392"/>
      <c r="B29" s="8" t="s">
        <v>393</v>
      </c>
      <c r="C29" s="147">
        <v>39.6</v>
      </c>
      <c r="D29" s="147">
        <v>3</v>
      </c>
      <c r="E29" s="8">
        <v>1</v>
      </c>
      <c r="F29" s="146"/>
    </row>
    <row r="30" spans="1:9" ht="45" customHeight="1">
      <c r="A30" s="392"/>
      <c r="B30" s="8" t="s">
        <v>394</v>
      </c>
      <c r="C30" s="147">
        <f>3172.55+453.6</f>
        <v>3626.15</v>
      </c>
      <c r="D30" s="147">
        <v>4.5</v>
      </c>
      <c r="E30" s="8">
        <v>5</v>
      </c>
      <c r="F30" s="26"/>
    </row>
    <row r="31" spans="1:9" ht="45" customHeight="1">
      <c r="A31" s="392"/>
      <c r="B31" s="8" t="s">
        <v>395</v>
      </c>
      <c r="C31" s="147">
        <f>1381.38+1692</f>
        <v>3073.38</v>
      </c>
      <c r="D31" s="147">
        <v>4.5</v>
      </c>
      <c r="E31" s="8">
        <v>4</v>
      </c>
      <c r="F31" s="26"/>
    </row>
    <row r="32" spans="1:9" ht="36.75" customHeight="1">
      <c r="A32" s="392"/>
      <c r="B32" s="8" t="s">
        <v>396</v>
      </c>
      <c r="C32" s="147">
        <f>129.9+17.3</f>
        <v>147.20000000000002</v>
      </c>
      <c r="D32" s="147">
        <v>3</v>
      </c>
      <c r="E32" s="8">
        <v>5</v>
      </c>
      <c r="F32" s="26"/>
      <c r="I32" s="148"/>
    </row>
    <row r="33" spans="1:9" ht="36.75" customHeight="1">
      <c r="A33" s="392"/>
      <c r="B33" s="8" t="s">
        <v>397</v>
      </c>
      <c r="C33" s="147">
        <f>1402.2+216</f>
        <v>1618.2</v>
      </c>
      <c r="D33" s="147">
        <v>3</v>
      </c>
      <c r="E33" s="8">
        <v>6</v>
      </c>
      <c r="F33" s="146"/>
      <c r="I33" s="148"/>
    </row>
    <row r="34" spans="1:9" ht="29.25" customHeight="1">
      <c r="A34" s="392"/>
      <c r="B34" s="8" t="s">
        <v>398</v>
      </c>
      <c r="C34" s="147">
        <f>189+19.2+15</f>
        <v>223.2</v>
      </c>
      <c r="D34" s="147">
        <v>3</v>
      </c>
      <c r="E34" s="8">
        <v>6</v>
      </c>
      <c r="F34" s="146"/>
      <c r="I34" s="148"/>
    </row>
    <row r="35" spans="1:9" ht="29.25" customHeight="1">
      <c r="A35" s="392"/>
      <c r="B35" s="135" t="s">
        <v>399</v>
      </c>
      <c r="C35" s="147">
        <f>1137.6+675+799.2+1179.45</f>
        <v>3791.25</v>
      </c>
      <c r="D35" s="147">
        <v>4.5</v>
      </c>
      <c r="E35" s="8">
        <v>3</v>
      </c>
      <c r="F35" s="8"/>
      <c r="I35" s="148"/>
    </row>
    <row r="36" spans="1:9" ht="29.25" customHeight="1">
      <c r="A36" s="392"/>
      <c r="B36" s="8" t="s">
        <v>400</v>
      </c>
      <c r="C36" s="147">
        <f>120+480</f>
        <v>600</v>
      </c>
      <c r="D36" s="147">
        <v>3</v>
      </c>
      <c r="E36" s="8">
        <v>1</v>
      </c>
      <c r="F36" s="8"/>
      <c r="I36" s="148"/>
    </row>
    <row r="37" spans="1:9" ht="29.25" customHeight="1">
      <c r="A37" s="392"/>
      <c r="B37" s="8" t="s">
        <v>401</v>
      </c>
      <c r="C37" s="147">
        <f>2142+133.2+1741.1+7+532.8+848.4</f>
        <v>5404.4999999999991</v>
      </c>
      <c r="D37" s="147">
        <v>3</v>
      </c>
      <c r="E37" s="8">
        <v>6</v>
      </c>
      <c r="F37" s="26"/>
    </row>
    <row r="38" spans="1:9" ht="29.25" customHeight="1">
      <c r="A38" s="392"/>
      <c r="B38" s="8" t="s">
        <v>402</v>
      </c>
      <c r="C38" s="147">
        <v>1711.44</v>
      </c>
      <c r="D38" s="147">
        <v>1.8</v>
      </c>
      <c r="E38" s="8">
        <v>2</v>
      </c>
      <c r="F38" s="26"/>
    </row>
    <row r="39" spans="1:9" ht="25.5" customHeight="1">
      <c r="A39" s="13" t="s">
        <v>50</v>
      </c>
      <c r="B39" s="8"/>
      <c r="C39" s="150">
        <f>SUM(C8:C38)</f>
        <v>32808.060000000005</v>
      </c>
      <c r="D39" s="159">
        <f>SUM(D8:D38)</f>
        <v>86.699999999999974</v>
      </c>
      <c r="E39" s="11">
        <f>SUM(E8:E38)</f>
        <v>103</v>
      </c>
      <c r="F39" s="16"/>
      <c r="I39" s="148"/>
    </row>
    <row r="40" spans="1:9" ht="25.5" customHeight="1">
      <c r="A40" s="393" t="s">
        <v>51</v>
      </c>
      <c r="B40" s="8" t="s">
        <v>403</v>
      </c>
      <c r="C40" s="147">
        <v>0</v>
      </c>
      <c r="D40" s="147">
        <v>0</v>
      </c>
      <c r="E40" s="26">
        <v>5</v>
      </c>
      <c r="F40" s="147" t="s">
        <v>301</v>
      </c>
    </row>
    <row r="41" spans="1:9" ht="25.5" customHeight="1">
      <c r="A41" s="393"/>
      <c r="B41" s="8" t="s">
        <v>404</v>
      </c>
      <c r="C41" s="147">
        <v>0</v>
      </c>
      <c r="D41" s="147">
        <v>0</v>
      </c>
      <c r="E41" s="26">
        <v>2</v>
      </c>
      <c r="F41" s="147" t="s">
        <v>301</v>
      </c>
    </row>
    <row r="42" spans="1:9" ht="25.5" customHeight="1">
      <c r="A42" s="393"/>
      <c r="B42" s="8" t="s">
        <v>405</v>
      </c>
      <c r="C42" s="147">
        <v>6553.5</v>
      </c>
      <c r="D42" s="147">
        <v>37</v>
      </c>
      <c r="E42" s="26">
        <v>12</v>
      </c>
      <c r="F42" s="147"/>
    </row>
    <row r="43" spans="1:9" ht="25.5" customHeight="1">
      <c r="A43" s="393"/>
      <c r="B43" s="8" t="s">
        <v>405</v>
      </c>
      <c r="C43" s="147">
        <v>0</v>
      </c>
      <c r="D43" s="147">
        <v>0</v>
      </c>
      <c r="E43" s="26">
        <v>3</v>
      </c>
      <c r="F43" s="147" t="s">
        <v>301</v>
      </c>
    </row>
    <row r="44" spans="1:9" ht="25.5" customHeight="1">
      <c r="A44" s="393"/>
      <c r="B44" s="8" t="s">
        <v>406</v>
      </c>
      <c r="C44" s="147">
        <v>3478</v>
      </c>
      <c r="D44" s="147">
        <v>37</v>
      </c>
      <c r="E44" s="26">
        <v>3</v>
      </c>
      <c r="F44" s="147"/>
    </row>
    <row r="45" spans="1:9" ht="25.5" customHeight="1">
      <c r="A45" s="393"/>
      <c r="B45" s="8" t="s">
        <v>406</v>
      </c>
      <c r="C45" s="147">
        <v>0</v>
      </c>
      <c r="D45" s="147">
        <v>0</v>
      </c>
      <c r="E45" s="26">
        <v>1</v>
      </c>
      <c r="F45" s="147" t="s">
        <v>301</v>
      </c>
    </row>
    <row r="46" spans="1:9" ht="25.5" customHeight="1">
      <c r="A46" s="393"/>
      <c r="B46" s="8" t="s">
        <v>407</v>
      </c>
      <c r="C46" s="147">
        <v>0</v>
      </c>
      <c r="D46" s="147">
        <v>0</v>
      </c>
      <c r="E46" s="26">
        <v>4</v>
      </c>
      <c r="F46" s="147" t="s">
        <v>301</v>
      </c>
    </row>
    <row r="47" spans="1:9" ht="25.5" customHeight="1">
      <c r="A47" s="393"/>
      <c r="B47" s="8" t="s">
        <v>408</v>
      </c>
      <c r="C47" s="147">
        <v>0</v>
      </c>
      <c r="D47" s="147">
        <v>0</v>
      </c>
      <c r="E47" s="26">
        <v>4</v>
      </c>
      <c r="F47" s="147" t="s">
        <v>301</v>
      </c>
    </row>
    <row r="48" spans="1:9" ht="25.5" customHeight="1">
      <c r="A48" s="393"/>
      <c r="B48" s="8" t="s">
        <v>408</v>
      </c>
      <c r="C48" s="147">
        <v>166</v>
      </c>
      <c r="D48" s="147">
        <v>83</v>
      </c>
      <c r="E48" s="26">
        <v>2</v>
      </c>
      <c r="F48" s="147"/>
    </row>
    <row r="49" spans="1:9" ht="25.5" customHeight="1">
      <c r="A49" s="393"/>
      <c r="B49" s="8" t="s">
        <v>409</v>
      </c>
      <c r="C49" s="147">
        <v>1125</v>
      </c>
      <c r="D49" s="147">
        <v>25</v>
      </c>
      <c r="E49" s="26">
        <v>2</v>
      </c>
      <c r="F49" s="147"/>
    </row>
    <row r="50" spans="1:9" ht="25.5" customHeight="1">
      <c r="A50" s="393"/>
      <c r="B50" s="8" t="s">
        <v>410</v>
      </c>
      <c r="C50" s="147">
        <v>0</v>
      </c>
      <c r="D50" s="147">
        <v>0</v>
      </c>
      <c r="E50" s="26">
        <v>1</v>
      </c>
      <c r="F50" s="147" t="s">
        <v>301</v>
      </c>
    </row>
    <row r="51" spans="1:9" ht="29.25" customHeight="1">
      <c r="A51" s="20" t="s">
        <v>50</v>
      </c>
      <c r="B51" s="20"/>
      <c r="C51" s="150">
        <f>SUM(C40:C50)</f>
        <v>11322.5</v>
      </c>
      <c r="D51" s="159">
        <f>SUM(D40:D50)</f>
        <v>182</v>
      </c>
      <c r="E51" s="11">
        <f>SUM(E40:E50)</f>
        <v>39</v>
      </c>
      <c r="F51" s="16"/>
      <c r="G51" s="19"/>
      <c r="I51" s="151"/>
    </row>
    <row r="52" spans="1:9" ht="31.5" customHeight="1">
      <c r="A52" s="344" t="s">
        <v>54</v>
      </c>
      <c r="B52" s="344"/>
      <c r="C52" s="344"/>
      <c r="D52" s="344"/>
      <c r="E52" s="344"/>
      <c r="F52" s="344"/>
    </row>
    <row r="53" spans="1:9" ht="60" customHeight="1">
      <c r="A53" s="11" t="s">
        <v>3</v>
      </c>
      <c r="B53" s="23" t="s">
        <v>4</v>
      </c>
      <c r="C53" s="23" t="s">
        <v>5</v>
      </c>
      <c r="D53" s="23" t="s">
        <v>56</v>
      </c>
      <c r="E53" s="23" t="s">
        <v>7</v>
      </c>
      <c r="F53" s="23" t="s">
        <v>8</v>
      </c>
    </row>
    <row r="54" spans="1:9" ht="33" customHeight="1">
      <c r="A54" s="20" t="s">
        <v>58</v>
      </c>
      <c r="B54" s="24"/>
      <c r="C54" s="147">
        <v>0</v>
      </c>
      <c r="D54" s="152">
        <v>0</v>
      </c>
      <c r="E54" s="153">
        <v>0</v>
      </c>
      <c r="F54" s="18"/>
    </row>
    <row r="55" spans="1:9" ht="24.75" customHeight="1">
      <c r="A55" s="27" t="s">
        <v>50</v>
      </c>
      <c r="B55" s="37"/>
      <c r="C55" s="150">
        <f>SUM(C54)</f>
        <v>0</v>
      </c>
      <c r="D55" s="154">
        <f>SUM(D54)</f>
        <v>0</v>
      </c>
      <c r="E55" s="155">
        <f>SUM(E54)</f>
        <v>0</v>
      </c>
      <c r="F55" s="18"/>
    </row>
    <row r="56" spans="1:9" ht="28.5" customHeight="1">
      <c r="A56" s="340" t="s">
        <v>59</v>
      </c>
      <c r="B56" s="8" t="s">
        <v>411</v>
      </c>
      <c r="C56" s="147">
        <v>88</v>
      </c>
      <c r="D56" s="152">
        <v>352</v>
      </c>
      <c r="E56" s="153">
        <v>8</v>
      </c>
      <c r="F56" s="18"/>
    </row>
    <row r="57" spans="1:9" ht="28.5" customHeight="1">
      <c r="A57" s="340"/>
      <c r="B57" s="8" t="s">
        <v>412</v>
      </c>
      <c r="C57" s="147">
        <v>335</v>
      </c>
      <c r="D57" s="152">
        <v>1608</v>
      </c>
      <c r="E57" s="153">
        <v>24</v>
      </c>
      <c r="F57" s="18"/>
    </row>
    <row r="58" spans="1:9" ht="28.5" customHeight="1">
      <c r="A58" s="340"/>
      <c r="B58" s="8" t="s">
        <v>413</v>
      </c>
      <c r="C58" s="147">
        <v>1120</v>
      </c>
      <c r="D58" s="152">
        <v>1400</v>
      </c>
      <c r="E58" s="153">
        <v>20</v>
      </c>
      <c r="F58" s="18"/>
    </row>
    <row r="59" spans="1:9" ht="29.25" customHeight="1">
      <c r="A59" s="27" t="s">
        <v>50</v>
      </c>
      <c r="B59" s="37"/>
      <c r="C59" s="150">
        <f>SUM(C56:C58)</f>
        <v>1543</v>
      </c>
      <c r="D59" s="154">
        <f>SUM(D56:D58)</f>
        <v>3360</v>
      </c>
      <c r="E59" s="156">
        <f>SUM(E56:E58)</f>
        <v>52</v>
      </c>
      <c r="F59" s="18"/>
    </row>
    <row r="60" spans="1:9" ht="24" customHeight="1">
      <c r="A60" s="20" t="s">
        <v>61</v>
      </c>
      <c r="B60" s="24" t="s">
        <v>414</v>
      </c>
      <c r="C60" s="147">
        <v>12642.58</v>
      </c>
      <c r="D60" s="152">
        <v>15293.44</v>
      </c>
      <c r="E60" s="153">
        <v>1</v>
      </c>
      <c r="F60" s="18" t="s">
        <v>415</v>
      </c>
    </row>
    <row r="61" spans="1:9" ht="27" customHeight="1">
      <c r="A61" s="27" t="s">
        <v>50</v>
      </c>
      <c r="B61" s="37"/>
      <c r="C61" s="150">
        <f>SUM(C60)</f>
        <v>12642.58</v>
      </c>
      <c r="D61" s="154">
        <f>SUM(D60)</f>
        <v>15293.44</v>
      </c>
      <c r="E61" s="156">
        <f>SUM(E60)</f>
        <v>1</v>
      </c>
      <c r="F61" s="18"/>
    </row>
    <row r="62" spans="1:9" ht="27" customHeight="1">
      <c r="A62" s="340" t="s">
        <v>62</v>
      </c>
      <c r="B62" s="8" t="s">
        <v>416</v>
      </c>
      <c r="C62" s="147">
        <v>0</v>
      </c>
      <c r="D62" s="152">
        <v>3253.73</v>
      </c>
      <c r="E62" s="153">
        <v>1</v>
      </c>
      <c r="F62" s="18"/>
    </row>
    <row r="63" spans="1:9" ht="27" customHeight="1">
      <c r="A63" s="340"/>
      <c r="B63" s="8" t="s">
        <v>417</v>
      </c>
      <c r="C63" s="147">
        <v>0</v>
      </c>
      <c r="D63" s="152">
        <v>6000</v>
      </c>
      <c r="E63" s="153">
        <v>1</v>
      </c>
      <c r="F63" s="18"/>
    </row>
    <row r="64" spans="1:9" ht="27" customHeight="1">
      <c r="A64" s="340"/>
      <c r="B64" s="8" t="s">
        <v>418</v>
      </c>
      <c r="C64" s="147">
        <v>0</v>
      </c>
      <c r="D64" s="152">
        <v>0</v>
      </c>
      <c r="E64" s="153">
        <v>1</v>
      </c>
      <c r="F64" s="18" t="s">
        <v>301</v>
      </c>
    </row>
    <row r="65" spans="1:6" ht="16.5" customHeight="1">
      <c r="A65" s="27" t="s">
        <v>50</v>
      </c>
      <c r="B65" s="37"/>
      <c r="C65" s="150">
        <f>SUM(C62:C64)</f>
        <v>0</v>
      </c>
      <c r="D65" s="154">
        <f>SUM(D62:D64)</f>
        <v>9253.73</v>
      </c>
      <c r="E65" s="155">
        <f>SUM(E62:E64)</f>
        <v>3</v>
      </c>
      <c r="F65" s="18"/>
    </row>
    <row r="66" spans="1:6" ht="30.75" customHeight="1">
      <c r="A66" s="20" t="s">
        <v>69</v>
      </c>
      <c r="B66" s="36"/>
      <c r="C66" s="147">
        <v>0</v>
      </c>
      <c r="D66" s="152">
        <v>0</v>
      </c>
      <c r="E66" s="153">
        <v>0</v>
      </c>
      <c r="F66" s="18"/>
    </row>
    <row r="67" spans="1:6" ht="15.75">
      <c r="A67" s="27" t="s">
        <v>50</v>
      </c>
      <c r="B67" s="37"/>
      <c r="C67" s="150">
        <f>SUM(C66)</f>
        <v>0</v>
      </c>
      <c r="D67" s="154">
        <v>0</v>
      </c>
      <c r="E67" s="11">
        <f>SUM(E66)</f>
        <v>0</v>
      </c>
      <c r="F67" s="18"/>
    </row>
    <row r="68" spans="1:6" ht="17.25" customHeight="1">
      <c r="A68" s="341"/>
      <c r="B68" s="341"/>
      <c r="C68" s="341"/>
      <c r="D68" s="341"/>
      <c r="E68" s="341"/>
      <c r="F68" s="341"/>
    </row>
    <row r="69" spans="1:6" ht="45" customHeight="1">
      <c r="A69" s="27" t="s">
        <v>419</v>
      </c>
      <c r="B69" s="37"/>
      <c r="C69" s="157">
        <f>SUM(C39+C51+C55+C59+C61+C65+C67)</f>
        <v>58316.140000000007</v>
      </c>
      <c r="D69" s="158">
        <f>SUM(D39+D51+D55+D59+D61+D65+D67)</f>
        <v>28175.87</v>
      </c>
      <c r="E69" s="155">
        <f>SUM(E39+E51+E55+E59+E61+E65+E67)</f>
        <v>198</v>
      </c>
      <c r="F69" s="18"/>
    </row>
    <row r="70" spans="1:6">
      <c r="A70" s="63"/>
      <c r="B70" s="64"/>
      <c r="C70" s="64"/>
      <c r="D70" s="64"/>
      <c r="E70" s="64"/>
    </row>
    <row r="71" spans="1:6">
      <c r="A71" s="65" t="s">
        <v>246</v>
      </c>
    </row>
    <row r="72" spans="1:6">
      <c r="A72" s="65"/>
    </row>
    <row r="73" spans="1:6">
      <c r="A73" s="66" t="s">
        <v>420</v>
      </c>
    </row>
    <row r="74" spans="1:6">
      <c r="A74" s="66" t="s">
        <v>421</v>
      </c>
    </row>
    <row r="75" spans="1:6">
      <c r="A75" s="66"/>
    </row>
    <row r="76" spans="1:6">
      <c r="A76" s="66" t="s">
        <v>422</v>
      </c>
    </row>
    <row r="77" spans="1:6" ht="15.75" customHeight="1"/>
    <row r="78" spans="1:6">
      <c r="A78" t="s">
        <v>130</v>
      </c>
    </row>
  </sheetData>
  <mergeCells count="9">
    <mergeCell ref="A56:A58"/>
    <mergeCell ref="A62:A64"/>
    <mergeCell ref="A68:F68"/>
    <mergeCell ref="A4:F4"/>
    <mergeCell ref="A5:F5"/>
    <mergeCell ref="A6:F6"/>
    <mergeCell ref="A8:A38"/>
    <mergeCell ref="A40:A50"/>
    <mergeCell ref="A52:F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TOTALE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2023-01-13T11:52:39Z</dcterms:modified>
</cp:coreProperties>
</file>