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63.35.129\direzione\COORDINAMENTO\0 Trasparenza\ANTICORRUZIONE E TRASPARENZA\2024\TRASPARENZA\Art. 30_introiti MENSILE\8. Agosto\per pubblicazione\"/>
    </mc:Choice>
  </mc:AlternateContent>
  <xr:revisionPtr revIDLastSave="0" documentId="13_ncr:1_{04EDE08C-642A-4251-887F-6ED96A9C38EF}" xr6:coauthVersionLast="47" xr6:coauthVersionMax="47" xr10:uidLastSave="{00000000-0000-0000-0000-000000000000}"/>
  <bookViews>
    <workbookView xWindow="36" yWindow="156" windowWidth="22872" windowHeight="12132" activeTab="8" xr2:uid="{C7AB539A-98FC-4611-94A9-AFFB2FBD1668}"/>
  </bookViews>
  <sheets>
    <sheet name="M1" sheetId="1" r:id="rId1"/>
    <sheet name="M2" sheetId="2" r:id="rId2"/>
    <sheet name="M3" sheetId="3" r:id="rId3"/>
    <sheet name="M4" sheetId="4" r:id="rId4"/>
    <sheet name="M5" sheetId="5" r:id="rId5"/>
    <sheet name="M6" sheetId="6" r:id="rId6"/>
    <sheet name="M7" sheetId="7" r:id="rId7"/>
    <sheet name="M8" sheetId="8" r:id="rId8"/>
    <sheet name="M9" sheetId="9" r:id="rId9"/>
    <sheet name="TOTALI" sheetId="10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8" l="1"/>
  <c r="D65" i="8"/>
  <c r="F81" i="4"/>
  <c r="E81" i="4"/>
  <c r="D81" i="4"/>
  <c r="F79" i="4"/>
  <c r="E79" i="4"/>
  <c r="D79" i="4"/>
  <c r="F75" i="4"/>
  <c r="E75" i="4"/>
  <c r="D75" i="4"/>
  <c r="F71" i="4"/>
  <c r="E71" i="4"/>
  <c r="D71" i="4"/>
  <c r="E67" i="4"/>
  <c r="E62" i="4"/>
  <c r="F77" i="4" l="1"/>
  <c r="E77" i="4"/>
  <c r="D77" i="4"/>
  <c r="F73" i="4"/>
  <c r="E73" i="4"/>
  <c r="D73" i="4"/>
  <c r="F67" i="4"/>
  <c r="D67" i="4"/>
  <c r="F62" i="4"/>
  <c r="D62" i="4"/>
  <c r="F82" i="1" l="1"/>
  <c r="G80" i="1"/>
  <c r="G82" i="1" s="1"/>
  <c r="F80" i="1"/>
  <c r="E80" i="1"/>
  <c r="E82" i="1" s="1"/>
  <c r="F73" i="2"/>
  <c r="F71" i="2"/>
  <c r="F75" i="2" s="1"/>
  <c r="F65" i="2"/>
  <c r="F63" i="2"/>
  <c r="F61" i="2"/>
  <c r="E57" i="2"/>
  <c r="E51" i="2"/>
  <c r="E73" i="2"/>
  <c r="D73" i="2"/>
  <c r="D71" i="2"/>
  <c r="E70" i="2"/>
  <c r="E71" i="2" s="1"/>
  <c r="E75" i="2" s="1"/>
  <c r="E65" i="2"/>
  <c r="D65" i="2"/>
  <c r="E63" i="2"/>
  <c r="D63" i="2"/>
  <c r="E61" i="2"/>
  <c r="D61" i="2"/>
  <c r="F57" i="2"/>
  <c r="D57" i="2"/>
  <c r="F51" i="2"/>
  <c r="D51" i="2"/>
  <c r="G78" i="1"/>
  <c r="F78" i="1"/>
  <c r="E78" i="1"/>
  <c r="F68" i="1"/>
  <c r="G43" i="1"/>
  <c r="F43" i="1"/>
  <c r="G76" i="1"/>
  <c r="F76" i="1"/>
  <c r="E76" i="1"/>
  <c r="G74" i="1"/>
  <c r="F74" i="1"/>
  <c r="E74" i="1"/>
  <c r="G68" i="1"/>
  <c r="E68" i="1"/>
  <c r="E43" i="1"/>
  <c r="D75" i="2" l="1"/>
  <c r="E109" i="6" l="1"/>
  <c r="D109" i="6"/>
  <c r="F107" i="6"/>
  <c r="F109" i="6" s="1"/>
  <c r="E107" i="6"/>
  <c r="D107" i="6"/>
  <c r="F86" i="6"/>
  <c r="E86" i="6"/>
  <c r="D86" i="6"/>
  <c r="E82" i="6"/>
  <c r="F58" i="6"/>
  <c r="E58" i="6"/>
  <c r="F105" i="6"/>
  <c r="E105" i="6"/>
  <c r="D105" i="6"/>
  <c r="F93" i="6"/>
  <c r="E93" i="6"/>
  <c r="D93" i="6"/>
  <c r="F89" i="6"/>
  <c r="E89" i="6"/>
  <c r="D89" i="6"/>
  <c r="F82" i="6"/>
  <c r="D82" i="6"/>
  <c r="D58" i="6"/>
  <c r="E100" i="7" l="1"/>
  <c r="E79" i="7"/>
  <c r="E74" i="7"/>
  <c r="D74" i="7"/>
  <c r="F98" i="7"/>
  <c r="E98" i="7"/>
  <c r="D98" i="7"/>
  <c r="F96" i="7"/>
  <c r="E96" i="7"/>
  <c r="D96" i="7"/>
  <c r="F93" i="7"/>
  <c r="E93" i="7"/>
  <c r="D93" i="7"/>
  <c r="F89" i="7"/>
  <c r="E89" i="7"/>
  <c r="D88" i="7"/>
  <c r="D87" i="7"/>
  <c r="D86" i="7"/>
  <c r="D85" i="7"/>
  <c r="D84" i="7"/>
  <c r="D89" i="7" s="1"/>
  <c r="F83" i="7"/>
  <c r="E83" i="7"/>
  <c r="D83" i="7"/>
  <c r="F79" i="7"/>
  <c r="D79" i="7"/>
  <c r="F74" i="7"/>
  <c r="F100" i="7" s="1"/>
  <c r="D64" i="7"/>
  <c r="D62" i="7"/>
  <c r="D61" i="7"/>
  <c r="D58" i="7"/>
  <c r="D53" i="7"/>
  <c r="D50" i="7"/>
  <c r="D49" i="7"/>
  <c r="D45" i="7"/>
  <c r="D44" i="7"/>
  <c r="D40" i="7"/>
  <c r="D28" i="7"/>
  <c r="D27" i="7"/>
  <c r="D26" i="7"/>
  <c r="D24" i="7"/>
  <c r="D23" i="7"/>
  <c r="D22" i="7"/>
  <c r="D20" i="7"/>
  <c r="D19" i="7"/>
  <c r="D16" i="7"/>
  <c r="D8" i="7"/>
  <c r="F66" i="9"/>
  <c r="E66" i="9"/>
  <c r="D64" i="9"/>
  <c r="E50" i="9"/>
  <c r="E31" i="9"/>
  <c r="F64" i="9"/>
  <c r="E64" i="9"/>
  <c r="F62" i="9"/>
  <c r="E62" i="9"/>
  <c r="D62" i="9"/>
  <c r="F60" i="9"/>
  <c r="E60" i="9"/>
  <c r="D60" i="9"/>
  <c r="F58" i="9"/>
  <c r="E58" i="9"/>
  <c r="D58" i="9"/>
  <c r="F54" i="9"/>
  <c r="E54" i="9"/>
  <c r="D54" i="9"/>
  <c r="F50" i="9"/>
  <c r="D50" i="9"/>
  <c r="F30" i="9"/>
  <c r="D30" i="9"/>
  <c r="D29" i="9"/>
  <c r="D28" i="9"/>
  <c r="D27" i="9"/>
  <c r="D26" i="9"/>
  <c r="D25" i="9"/>
  <c r="F24" i="9"/>
  <c r="F31" i="9" s="1"/>
  <c r="D24" i="9"/>
  <c r="D23" i="9"/>
  <c r="D22" i="9"/>
  <c r="D21" i="9"/>
  <c r="D19" i="9"/>
  <c r="D18" i="9"/>
  <c r="D17" i="9"/>
  <c r="D16" i="9"/>
  <c r="D15" i="9"/>
  <c r="D14" i="9"/>
  <c r="D31" i="9" s="1"/>
  <c r="D13" i="9"/>
  <c r="D12" i="9"/>
  <c r="D10" i="9"/>
  <c r="D9" i="9"/>
  <c r="D8" i="9"/>
  <c r="D100" i="7" l="1"/>
  <c r="D66" i="9"/>
  <c r="E66" i="5"/>
  <c r="E44" i="5"/>
  <c r="F69" i="8"/>
  <c r="E69" i="8"/>
  <c r="D69" i="8"/>
  <c r="F67" i="8"/>
  <c r="E67" i="8"/>
  <c r="D67" i="8"/>
  <c r="F65" i="8"/>
  <c r="F63" i="8"/>
  <c r="E63" i="8"/>
  <c r="D63" i="8"/>
  <c r="E52" i="8"/>
  <c r="E45" i="8"/>
  <c r="F64" i="5"/>
  <c r="E64" i="5"/>
  <c r="D64" i="5"/>
  <c r="F62" i="5"/>
  <c r="E62" i="5"/>
  <c r="D62" i="5"/>
  <c r="F60" i="5"/>
  <c r="E60" i="5"/>
  <c r="D60" i="5"/>
  <c r="F58" i="5"/>
  <c r="E58" i="5"/>
  <c r="D58" i="5"/>
  <c r="F52" i="5"/>
  <c r="E52" i="5"/>
  <c r="D52" i="5"/>
  <c r="F48" i="5"/>
  <c r="E48" i="5"/>
  <c r="D48" i="5"/>
  <c r="F44" i="5"/>
  <c r="F66" i="5" s="1"/>
  <c r="E43" i="5"/>
  <c r="D43" i="5"/>
  <c r="E42" i="5"/>
  <c r="E40" i="5"/>
  <c r="D40" i="5"/>
  <c r="E39" i="5"/>
  <c r="D39" i="5"/>
  <c r="E38" i="5"/>
  <c r="D38" i="5"/>
  <c r="E37" i="5"/>
  <c r="E35" i="5"/>
  <c r="D35" i="5"/>
  <c r="E33" i="5"/>
  <c r="D33" i="5"/>
  <c r="E32" i="5"/>
  <c r="E31" i="5"/>
  <c r="D31" i="5"/>
  <c r="E30" i="5"/>
  <c r="D30" i="5"/>
  <c r="E29" i="5"/>
  <c r="D29" i="5"/>
  <c r="E28" i="5"/>
  <c r="E27" i="5"/>
  <c r="D27" i="5"/>
  <c r="E26" i="5"/>
  <c r="D26" i="5"/>
  <c r="E25" i="5"/>
  <c r="E23" i="5"/>
  <c r="D23" i="5"/>
  <c r="E21" i="5"/>
  <c r="E20" i="5"/>
  <c r="D20" i="5"/>
  <c r="E18" i="5"/>
  <c r="D18" i="5"/>
  <c r="E16" i="5"/>
  <c r="E14" i="5"/>
  <c r="D14" i="5"/>
  <c r="E13" i="5"/>
  <c r="E12" i="5"/>
  <c r="D12" i="5"/>
  <c r="E11" i="5"/>
  <c r="D11" i="5"/>
  <c r="E10" i="5"/>
  <c r="D10" i="5"/>
  <c r="E9" i="5"/>
  <c r="E8" i="5"/>
  <c r="D8" i="5"/>
  <c r="D44" i="5" s="1"/>
  <c r="D66" i="5" s="1"/>
  <c r="F61" i="8" l="1"/>
  <c r="E61" i="8"/>
  <c r="D61" i="8"/>
  <c r="F58" i="8"/>
  <c r="E58" i="8"/>
  <c r="D58" i="8"/>
  <c r="F52" i="8"/>
  <c r="D52" i="8"/>
  <c r="F45" i="8"/>
  <c r="D45" i="8"/>
  <c r="F67" i="3" l="1"/>
  <c r="E67" i="3"/>
  <c r="D67" i="3"/>
  <c r="F65" i="3"/>
  <c r="E65" i="3"/>
  <c r="F63" i="3"/>
  <c r="E63" i="3"/>
  <c r="F61" i="3"/>
  <c r="E61" i="3"/>
  <c r="F59" i="3"/>
  <c r="E59" i="3"/>
  <c r="F57" i="3"/>
  <c r="E57" i="3"/>
  <c r="F53" i="3"/>
  <c r="E53" i="3"/>
  <c r="F48" i="3"/>
  <c r="E48" i="3"/>
  <c r="D65" i="3" l="1"/>
  <c r="D63" i="3"/>
  <c r="D61" i="3"/>
  <c r="D59" i="3"/>
  <c r="D57" i="3"/>
  <c r="D53" i="3"/>
  <c r="D48" i="3"/>
</calcChain>
</file>

<file path=xl/sharedStrings.xml><?xml version="1.0" encoding="utf-8"?>
<sst xmlns="http://schemas.openxmlformats.org/spreadsheetml/2006/main" count="1029" uniqueCount="581">
  <si>
    <t>Comune di Milano</t>
  </si>
  <si>
    <t>DIREZIONE SERVIZI CIVICI E MUNICIPI</t>
  </si>
  <si>
    <t>MUNICIPIO 3</t>
  </si>
  <si>
    <t xml:space="preserve"> LOCALI SCOLASTICI E SPAZI MULTIUSO</t>
  </si>
  <si>
    <t>tipologia di procedimento</t>
  </si>
  <si>
    <t>tipologia
immobile/ area
indirizzo</t>
  </si>
  <si>
    <t>totale canoni percepiti a partire da gennaio 2024</t>
  </si>
  <si>
    <t>tariffa oraria pattuita</t>
  </si>
  <si>
    <t>numero totale contratti 
gestiti</t>
  </si>
  <si>
    <t>Note 
(ragioni per cui il canone percepito è superiore al canone annuo pattuito ed aventuali altre annotazioni)</t>
  </si>
  <si>
    <t>concessioni in uso di locali scolastici (per singolo plesso)</t>
  </si>
  <si>
    <t>I.C Stoppani plesso primaria Bacone 
via Matteucci 3
Palestra grande</t>
  </si>
  <si>
    <t>I.C Stoppani plesso primaria Bacone 
via Matteucci 3
Palestra piccola</t>
  </si>
  <si>
    <t>I.C Stoppani plesso primaria Bacone 
via Matteucci 3
Aula Cinema</t>
  </si>
  <si>
    <t>I.C Stoppani plesso primaria Bacone 
via Matteucci 3
Aula Tatami</t>
  </si>
  <si>
    <t>I.C Stoppani plesso primaria Stoppani 
via Stoppani 1
Palestra grande</t>
  </si>
  <si>
    <t>I.C Stoppani plesso secondaria Caterina da Siena 
via Monteverdi 6
Palestra grande</t>
  </si>
  <si>
    <t>I.C. Scarpa plesso primaria Scarpa
via Clericetti 22
Palestra</t>
  </si>
  <si>
    <t>I.C. Scarpa plesso primaria Scarpa
via Clericetti 22
Aula</t>
  </si>
  <si>
    <t>I.C. Scarpa plesso primaria Elsa Morante
via Pini 3
Palestra</t>
  </si>
  <si>
    <t>I.C. Scarpa plesso primaria Elsa Morante
via Pini 3
Aula</t>
  </si>
  <si>
    <t>I.C. Scarpa plesso secondaria Cairoli
via Pascal 35
Palestra</t>
  </si>
  <si>
    <t>I.C. Scarpa plesso secondaria Cairoli
via Pascal 35
Aula</t>
  </si>
  <si>
    <t>I.C Guido Galli primaria Nolli Arquati
V.le Romagna 16/18
Palestra superiore</t>
  </si>
  <si>
    <t>I.C Guido Galli primaria Nolli Arquati
V.le Romagna 16/18
Palestra inferiore</t>
  </si>
  <si>
    <t>I.C Guido Galli primaria Nolli Arquati
V.le Romagna 16/18
Aula teatro</t>
  </si>
  <si>
    <t>I.C Guido Galli primaria Bonetti
via Tajani 12
Palestra</t>
  </si>
  <si>
    <t>I.C Guido Galli primaria Bonetti
via Tajani 12
Aula</t>
  </si>
  <si>
    <t>I.C Guido Galli primaria Toti
via Cima 15
Palestra</t>
  </si>
  <si>
    <t>I.C Guido Galli primaria Toti
via Cima 15
Aula</t>
  </si>
  <si>
    <t>I.C Maniago plesso primaria Munari
via Feltre 68
Palestra</t>
  </si>
  <si>
    <t>I.C Maniago plesso primaria Munari
via Feltre 68
Aula</t>
  </si>
  <si>
    <t>I.C Maniago plesso primaria Fermi
via Carnia 32
Palestra</t>
  </si>
  <si>
    <t>I.C Maniago plesso primaria Fermi
via Carnia 32
Aula</t>
  </si>
  <si>
    <t>I.C Maniago plesso secondaria Buzzati
via Maniago 30
Palestra grande</t>
  </si>
  <si>
    <t>I.C Maniago plesso secondaria Buzzati
via Maniago 30
Palestra piccola</t>
  </si>
  <si>
    <t>I.C Maniago plesso secondaria Buzzati
via Maniago 30
Aula</t>
  </si>
  <si>
    <t>I.C Pisacane plesso primaria Pisacane
via Pisacane 9
Palestra grande</t>
  </si>
  <si>
    <t>I.C Pisacane plesso primaria Pisacane
via Pisacane 9
Palestra piccola</t>
  </si>
  <si>
    <t>I.C Pisacane plesso primaria Pisacane
via Pisacane 9
Aula</t>
  </si>
  <si>
    <t>I.C Pisacane plesso secondaria Locatelli Oriani
via Pisacane 13
Palestra</t>
  </si>
  <si>
    <t>I.C Pisacane plesso secondaria Locatelli Oriani
via Pisacane 13
Aula</t>
  </si>
  <si>
    <t>I.C. Galvani plesso primaria M. di Savoia e C. Borromeo
via Casati 6
Palestra</t>
  </si>
  <si>
    <t>I.C. Galvani plesso primaria M. di Savoia e C. Borromeo
via Casati 6
Aula teatro</t>
  </si>
  <si>
    <t>I.C. Galvani plesso primaria M. di Savoia e C. Borromeo
via Casati 6
Aula</t>
  </si>
  <si>
    <t>I.C. Quintino di Vona primaria Tito Speri
via Porpora 11
Palestra</t>
  </si>
  <si>
    <t>I.C. Quintino di Vona primaria Tito Speri
via Porpora 11
Aula</t>
  </si>
  <si>
    <t>I.C. Quintino di Vona secondaria
via Sacchini 34
Palestra</t>
  </si>
  <si>
    <t>I.C. Quintino di Vona secondaria
via Sacchini 34
Aula</t>
  </si>
  <si>
    <t xml:space="preserve">Palestra
Via Pini 1
</t>
  </si>
  <si>
    <t>Spazio in carico al Municipio 3 gestito con la stessa procedura dei locali scolastici.</t>
  </si>
  <si>
    <t>totale</t>
  </si>
  <si>
    <t>concessione in uso spazi multiuso</t>
  </si>
  <si>
    <t>Via Sansovino, 9
Aula Consiliare</t>
  </si>
  <si>
    <t>Gratuità prevista con Delibera per le istituzioni scolastiche e i gruppi consiliari del Municipio 3.</t>
  </si>
  <si>
    <t>Via Val Vassori Peroni, 56
Auditorium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</si>
  <si>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</si>
  <si>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</si>
  <si>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</si>
  <si>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</si>
  <si>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</si>
  <si>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</si>
  <si>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Orti ubicati in via Canelli Folli</t>
  </si>
  <si>
    <t>concessione impianti sportivi</t>
  </si>
  <si>
    <t>Via Tucidide, 10
Centro sportivo Scarioni</t>
  </si>
  <si>
    <t>concessioni in uso di spazi diversi dai precedenti</t>
  </si>
  <si>
    <t>BAR
via Valvassori Peroni</t>
  </si>
  <si>
    <t>Contratto di concessione iniziato il 01/06/2024</t>
  </si>
  <si>
    <t>concessioni in comodato d'uso</t>
  </si>
  <si>
    <r>
      <rPr>
        <b/>
        <sz val="12"/>
        <color theme="1"/>
        <rFont val="Aptos Narrow"/>
        <family val="2"/>
        <scheme val="minor"/>
      </rPr>
      <t>TOTALE GENERALE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</si>
  <si>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3</t>
  </si>
  <si>
    <t>Dr.ssa  Elisabetta Pedratti</t>
  </si>
  <si>
    <t>Milano, 4  settembre 2024</t>
  </si>
  <si>
    <t>nessuna concessione</t>
  </si>
  <si>
    <t>Canoni rivalutati sulla base dell'indice ISTAT</t>
  </si>
  <si>
    <t>La Responsabile Unità Coordinamento</t>
  </si>
  <si>
    <t>Originale sottoscritto conservato presso la Direzione Servizi Civici e Municipi - Area Municipi</t>
  </si>
  <si>
    <t>DIREZIONE SERVIZI CIVICI E  MUNICIPI</t>
  </si>
  <si>
    <t>INTROITI PER CONCESSIONI DI LOCALI SCOLASTICI, SPAZI MULTIUSO, IMMOBILI E AREE - PERIODO: GENNAIO - AGOSTO 2024</t>
  </si>
  <si>
    <t xml:space="preserve"> MUNICIPIO 8</t>
  </si>
  <si>
    <t>PISCINA Scuola primaria via C. da Castello, 10</t>
  </si>
  <si>
    <t>PALESTRA Scuola primaria via Cilea, 12</t>
  </si>
  <si>
    <t>PALESTRA Via Cittadini, 9</t>
  </si>
  <si>
    <t>AULA via Console Marcello, 9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</si>
  <si>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</si>
  <si>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</si>
  <si>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</si>
  <si>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</si>
  <si>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</si>
  <si>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</si>
  <si>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</si>
  <si>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Mac Mahon, 100</t>
  </si>
  <si>
    <t>AULE Scuola primaria via Mantegna, 10</t>
  </si>
  <si>
    <t>PALESTRA Scuola primaria via Mantegna, 10</t>
  </si>
  <si>
    <t>PALESTRA Scuola primaria via Moscati, 1</t>
  </si>
  <si>
    <t>AULA Scuola primaria via Moscati, 1</t>
  </si>
  <si>
    <t>PALESTRA via Pareto, 26</t>
  </si>
  <si>
    <t>AULA via Pareto, 26</t>
  </si>
  <si>
    <t>PALESTRA S.M.Nascente</t>
  </si>
  <si>
    <t>AULA S.M.Nascente</t>
  </si>
  <si>
    <t>PALESTRA via Val Lagarina, 44</t>
  </si>
  <si>
    <t>PALESTRA Scuola primaria via Visconti, 16</t>
  </si>
  <si>
    <t>PALESTRA Scuola primaria via Viscontini, 7</t>
  </si>
  <si>
    <t>PALESTRA Scuola Sec. di 1° grado via Borsa, 26</t>
  </si>
  <si>
    <t>PALESTRINA Scuola Sec. di 1° grado via C. da Castello, 9</t>
  </si>
  <si>
    <t>PALESTRA Scuola Sec. di 1° grado via C. da Castello, 9</t>
  </si>
  <si>
    <t>AULA Scuola Sec. di 1° grado via C. da Castello, 9</t>
  </si>
  <si>
    <t>SPAZIO TEATRO Scuola Sec. di 1° grado via C. da Castello, 9</t>
  </si>
  <si>
    <t>Scuola Sec. di 1° grado via Graf, 74</t>
  </si>
  <si>
    <t>Scuola Sec. di 1° grado via Linneo, 2</t>
  </si>
  <si>
    <t>Scuola Sec. di 1° grado via Ojetti, 13</t>
  </si>
  <si>
    <t>PALESTRA Scuola Sec. di 1° grado via P. Uccello, 1/A</t>
  </si>
  <si>
    <t>PALESTRA Scuola Sec. di 1° grado via Quarenghi, 14</t>
  </si>
  <si>
    <t>AULA ARTISTICA Scuola Sec. di 1° grado via Quarenghi, 14</t>
  </si>
  <si>
    <t>Auditorium via Quarenghi, 21</t>
  </si>
  <si>
    <t>l'importo si riferisce fino a 4 ore - € 134,00 oltre le 4 ore</t>
  </si>
  <si>
    <t>Atrio sala consiliare via Quarenghi, 21</t>
  </si>
  <si>
    <t>l'importo si riferisce fino a 4 ore - ogni ora in più € 3,70</t>
  </si>
  <si>
    <t>CAM Lessona via Lessona, 20</t>
  </si>
  <si>
    <t>l'importo si riferisce fino a 4 ore - ogni ora in più € 1,20</t>
  </si>
  <si>
    <t>CAM Lampugnano via Lampugnano, 145</t>
  </si>
  <si>
    <t>l'importo si riferisce fino a 4 ore - ogni ora in più € 5,00</t>
  </si>
  <si>
    <t>CAM Pecetta via della Pecetta, 29</t>
  </si>
  <si>
    <t xml:space="preserve">l'importo si riferisce fino a 4 ore - ogni ora in più € 1,20
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</si>
  <si>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</si>
  <si>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</si>
  <si>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</si>
  <si>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</si>
  <si>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</si>
  <si>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</si>
  <si>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t>INTROITI PER CONCESSIONI DI LOCALI SCOLASTICI, SPAZI MULTIUSO, IMMOBILI E AREE - PERIODO: GENNAIO -  AGOSTO 2024</t>
  </si>
  <si>
    <t>MUNICIPIO 5</t>
  </si>
  <si>
    <t>ICS  ARCADIA - Via dell'Arcadia 22 
scuola primaria Arcadia 
palestra mq 847
aula psicomotricità mq 52</t>
  </si>
  <si>
    <t>ICS ARCADIA - Via dell'Arcadia 24 
scuola secondaria Arcadia 
palestra mq 848</t>
  </si>
  <si>
    <t>ICS ARCADIA - Via Baroni 73 (saponaro 36) 
scuola primaria Baroni 
palestra mq 260</t>
  </si>
  <si>
    <t>ICS ARCADIA Via Feraboli 44 
scuola Primaria Feraboli 
palestra grande mq 306 
palestra piccola mq 173</t>
  </si>
  <si>
    <t>ICS BAROZZI Via Bocconi 17 
scuola primaria Barozzi 
palestra mq 264
aula sostegno mq 32</t>
  </si>
  <si>
    <t>ICS BAROZZI Via G. Romano 2 
scuola primaria Giulio Romano 
palestra mq 186</t>
  </si>
  <si>
    <t>ICS BAROZZI Via Vittadini 10 
Scuola Confalonieri 
palestra mq 290
aula magna mq 110</t>
  </si>
  <si>
    <t>IC CAPPONI Via Pescarenico 6 
Elementare "MORO" 
palestra mq 242 
aula ora alternativa mq 34
aula teatro mq 86</t>
  </si>
  <si>
    <t>ICS Elsa Morante - Via Antonini 50 - Scuola primaria Damiano Chiesa 
palestra di mq 165 
aula di 50 mq</t>
  </si>
  <si>
    <t>ICS Elsa Morante - Via dei Bognetti 15 
Scuola primaria 
palestra grande mq 374 
palestra piccola mq 280
aula mq 34
aula mq 17</t>
  </si>
  <si>
    <t>ICS Elsa Morante - Via Heine 2 
Scuola Secondaria 
palestra grande mq 436
palestra piccola mq 215</t>
  </si>
  <si>
    <t>ICS F. FILZI Via dei Guarneri 21 
scuola media Toscanini 
palestra mq 615</t>
  </si>
  <si>
    <t>ICS F. FILZI Via Wolf Ferrari 6 
Scuola primaria 
palestra mq 252 
aula giochi serali mq 46</t>
  </si>
  <si>
    <t>IC PALMIERI Via Palmieri 24 
scuola primaria C. Battisti
palestra mq 180</t>
  </si>
  <si>
    <t>IC PALMIERI Via S. Giacomo 1 
scuola primaria C. Peroni 
palestra mq 250 
palestrina psicomotricità mq 42</t>
  </si>
  <si>
    <t>IC PALMIERI Via Boifava 52 
scuola secondaria 
S. Pertini 
palestra mq 263</t>
  </si>
  <si>
    <t>IC THOUAR GONZAGA via Brunacci 2/4
scuola primaria
palestra mq 176</t>
  </si>
  <si>
    <t>IC THOUAR GONZAGA Via Gentilino 14  
scuola primaria 
Plesso Piolti de Bianchi - G. Stampa 
palestra mq 235 
n. 1 aula mq 63</t>
  </si>
  <si>
    <t>IC THOUAR GONZAGA Via Tabacchi 15/A 
scuola secondaria di I grado 
O. TABACCHI 
palestra mq 235</t>
  </si>
  <si>
    <t>salone C.A.M. via Palmieri 18/20</t>
  </si>
  <si>
    <t>la tariffa è fissata, per atto interno, fino ad un massimo di 4 ore. Per slot aggiuntivi vi sono tariffe variabili</t>
  </si>
  <si>
    <t>salone C.A.M. via Saponaro 30</t>
  </si>
  <si>
    <t>C.A.M. viale Tibaldi 41</t>
  </si>
  <si>
    <t>Via San Bernardo 17</t>
  </si>
  <si>
    <t>via Campazzino</t>
  </si>
  <si>
    <t>via Teresa Noce</t>
  </si>
  <si>
    <t>2 orti vuoti</t>
  </si>
  <si>
    <t>via Selvanesco</t>
  </si>
  <si>
    <t>via Vaiano Valle</t>
  </si>
  <si>
    <t>via Bottoni</t>
  </si>
  <si>
    <t>Concessioni temporaneamente sospese per studio potenziale inquinamento terreni con Dir. Ambiente e Uni Bicocca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</si>
  <si>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</si>
  <si>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Milano, 31 agosto 2024</t>
  </si>
  <si>
    <t>Municipio 5</t>
  </si>
  <si>
    <t>*Dr.ssa  Valeria Furnari</t>
  </si>
  <si>
    <t>*Il documento è firmato digitalmente ai sensi del D. Lgs. 82/2005 s.m.i. e norme collegate e sostituisce il documento cartaceo e la firma autografa.</t>
  </si>
  <si>
    <t>gratuita</t>
  </si>
  <si>
    <t>Municipio 8</t>
  </si>
  <si>
    <r>
      <t xml:space="preserve">totale canoni percepiti da </t>
    </r>
    <r>
      <rPr>
        <b/>
        <i/>
        <sz val="12"/>
        <rFont val="Calibri"/>
        <family val="2"/>
        <charset val="1"/>
      </rPr>
      <t>gennaio 2024</t>
    </r>
  </si>
  <si>
    <t>totale tariffe orarie e 
canoni annui pattuiti</t>
  </si>
  <si>
    <r>
      <t xml:space="preserve">TOTALE GENERALE 9 MUNICIPI
</t>
    </r>
    <r>
      <rPr>
        <sz val="14"/>
        <color theme="1"/>
        <rFont val="Aptos Narrow"/>
        <family val="2"/>
        <charset val="1"/>
        <scheme val="minor"/>
      </rPr>
      <t>importo comprensivo di I.V.A. ai sensi di legge</t>
    </r>
  </si>
  <si>
    <t>Milano, 5 settembre 2024</t>
  </si>
  <si>
    <t>Il Direttore</t>
  </si>
  <si>
    <t>*Dr.ssa Gabriella Della Valle</t>
  </si>
  <si>
    <t>MUNICIPIO 9</t>
  </si>
  <si>
    <t>tariffa oraria 
pattuita</t>
  </si>
  <si>
    <t>concessioni in uso di locali scolastici
 (per singolo plesso)</t>
  </si>
  <si>
    <t>AULA - I.C. ARBE ZARA
Scuola Primaria "Poerio" - Via Pianell n. 40</t>
  </si>
  <si>
    <t>PALESTRA - I.C. ARBE ZARA
 Scuola Primaria "Poerio" - Via Pianell n. 40</t>
  </si>
  <si>
    <t xml:space="preserve">PALESTRA - I.C. CESARE CANTÚ
Scuola Primaria "Hanna Frank" - Via Dora Baltea n. 16 </t>
  </si>
  <si>
    <t>PALESTRA - I.C. CESARE CANTÚ
Scuola Primaria - Via  Dei Braschi n. 12</t>
  </si>
  <si>
    <t>PALESTRA - I.C. CONFALONIERI
Scuola Primaria - Via dal Verme n. 10</t>
  </si>
  <si>
    <t>PALESTRA - I.C. CONFALONIERI
 Scuola Secondaria di 1° grado "Govone" - Via Pepe n. 40</t>
  </si>
  <si>
    <t>PALESTRA - I.C. CONFALONIERI                                                                                                                                                                                                                                                                                                                                      Scuola Primaria Lambruschini - Via Crespi 1</t>
  </si>
  <si>
    <t>PALESTRA - I.C. DON ORIONE
Scuola Secondaria di 1° grado "Leonardo da Vinci" - Via Sand  n. 32</t>
  </si>
  <si>
    <t>PALESTRA - I.C. DON ORIONE
 Scuola Primaria "Caracciolo" - Via Iseo n. 7</t>
  </si>
  <si>
    <t>AULA PSICOMOTRICITA' - I.C. DON ORIONE
Scuola Primaria "Caracciolo" - Via Iseo n. 7</t>
  </si>
  <si>
    <t xml:space="preserve">PALESTRA - I.C. DON ORIONE 
Scuola Primaria  "Don Orione" - Via Fabriano n. 4 </t>
  </si>
  <si>
    <t xml:space="preserve">PALESTRA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</si>
  <si>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MAGNA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</si>
  <si>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 - Via Veglia n. 80</t>
  </si>
  <si>
    <t>PALESTRA - I.C. LOCCHI
Scuola Primaria "Duca degli Abruzzi" - Via Cesari n. 38</t>
  </si>
  <si>
    <t xml:space="preserve"> AUDITORIUM TEATRO - I.C. LOCCHI 
Scuola Primaria "Duca degli Abruzzi" - Via Cesari n. 38</t>
  </si>
  <si>
    <t>PALESTRA - I.C. SANDRO PERTINI 
Scuola Secondaria "Falcone e Borsellino" -  Via T. Mann n. 8</t>
  </si>
  <si>
    <t>PALESTRA - I.C. SANDRO PERTINI
Scuola Primaria "Pirelli" - Via da Bussero n. 9</t>
  </si>
  <si>
    <t>PALESTRA - I.C. SANDRO PERTINI 
Scuola Secondaria "Verga" - Via Asturie n. 1</t>
  </si>
  <si>
    <t>PALESTRA - I.C. SCIALOIA 
Scuola Primaria "Calvino" - Via Scialoia, 19</t>
  </si>
  <si>
    <t xml:space="preserve"> PALESTRA - I.C. SCIALOIA 
Scuola Secondaria di 1° grado "Buonarroti" - Via Scialoia n. 21</t>
  </si>
  <si>
    <t>PALESTRA - I.C. SORELLE AGAZZI
Scuola Secondaria di 1° grado "GANDHI" Piazza Gasparri n. 6</t>
  </si>
  <si>
    <t>PALESTRA - I.C. SORELLE AGAZZI 
Scuola  Secondaria di I° "Rodari" - Via Gabbro 6/a</t>
  </si>
  <si>
    <t>concessioni in uso spazi multiuso</t>
  </si>
  <si>
    <t>SPAZIO PALESTRA - CAM
 Via Ciriè n. 9</t>
  </si>
  <si>
    <t>SPAZIO TEATRO - CAM
Via Ciriè n. 9</t>
  </si>
  <si>
    <t>SALA - VILLA LITTA
Viale Affori n.21</t>
  </si>
  <si>
    <t>SALONE
Via Empoli n. 9/2</t>
  </si>
  <si>
    <t>AUDITORIUM "FALCONE E BORSELLINO" CASSINA ANNA
Via Sant'Arnaldo n. 17</t>
  </si>
  <si>
    <t>ANFITEATRO - CASSINA ANNA 
Via Sant'Arnaldo n. 17</t>
  </si>
  <si>
    <t>LOCALE RUSTICO - CASSINA ANNA 
Via Sant'Arnaldo n. 17</t>
  </si>
  <si>
    <t>PALESTRINA - CASSINA ANNA 
Via Sant'Arnaldo n. 17</t>
  </si>
  <si>
    <t>AUDITORIUM "TERESA SARTI STRADA"
Viale Cà Granda n. 19</t>
  </si>
  <si>
    <t>canone annuo 
pattuito</t>
  </si>
  <si>
    <t>Cassina Anna  
Via Sant'Arnaldo n. 17</t>
  </si>
  <si>
    <t>Via Cosenz</t>
  </si>
  <si>
    <t>Via Cascina dei Prati</t>
  </si>
  <si>
    <t>IMPIANTO SPORTIVO
 Via G. Pasta, 43</t>
  </si>
  <si>
    <t>PROGETTO ATS CAPOFILA  A&amp;I
Viale Affori n. 21</t>
  </si>
  <si>
    <r>
      <rPr>
        <b/>
        <sz val="12"/>
        <color theme="1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</si>
  <si>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9</t>
  </si>
  <si>
    <t>*Dr.ssa  Giuseppina Pedata</t>
  </si>
  <si>
    <t>*Il documento è firmato digitalmente ai sensi del D.Lgs. 82/2005 s.m.i. e norme collegate e sostituisce il documento cartaceo e la firma autografa.</t>
  </si>
  <si>
    <t>nesssuna concessione</t>
  </si>
  <si>
    <t>Milano, 9 settembre 2024</t>
  </si>
  <si>
    <t xml:space="preserve">INTROITI PER CONCESSIONI DI LOCALI SCOLASTICI, SPAZI MULTIUSO, IMMOBILI E AREE - PERIODO: GENNAIO - AGOSTO 2024 </t>
  </si>
  <si>
    <t xml:space="preserve">MUNICIPIO 7 </t>
  </si>
  <si>
    <t>Via Lamennais 20 - palestra</t>
  </si>
  <si>
    <t>Via Lamennais 20 - aule</t>
  </si>
  <si>
    <t>Via Lamennais 20 - cortile</t>
  </si>
  <si>
    <t>Via Dolci 5 - palestra</t>
  </si>
  <si>
    <t>Via Constant 19 - palestra</t>
  </si>
  <si>
    <t>Via Airaghi 42 - palestra</t>
  </si>
  <si>
    <t>Via San Giusto 65 - palestra</t>
  </si>
  <si>
    <t>Via San Giusto 65 - aula tatami</t>
  </si>
  <si>
    <t>Via San Giusto 65 - aule</t>
  </si>
  <si>
    <t>Via Rasori 19 - palestra</t>
  </si>
  <si>
    <t>Via Rasori 19 - aule</t>
  </si>
  <si>
    <t>Via Rasori 19 - cortile</t>
  </si>
  <si>
    <t>Via Mauri 10 - cortile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</si>
  <si>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</si>
  <si>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</si>
  <si>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</si>
  <si>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</si>
  <si>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</si>
  <si>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aula/teatro</t>
  </si>
  <si>
    <t>Piazza Sicilia 2 - palestra Seprio</t>
  </si>
  <si>
    <t>Piazza Sicilia 2 - cortile</t>
  </si>
  <si>
    <t>Piazza Sicilia 2 - palestra Sacco/Sard</t>
  </si>
  <si>
    <t>Via Val D'Intelvi 11 - palestra</t>
  </si>
  <si>
    <t>Via Val D'Intelvi 11 - aula</t>
  </si>
  <si>
    <t>Via Val D'Intelvi 11 - palestrina/teatro</t>
  </si>
  <si>
    <t>Via Milesi 4 - palestra</t>
  </si>
  <si>
    <t>Via Forze Armate 279 - palestra</t>
  </si>
  <si>
    <t>Via Forze Armate 279 - aule</t>
  </si>
  <si>
    <t>Via Valdagno 8 - aule</t>
  </si>
  <si>
    <t>Via Valdagno 8 - palestra</t>
  </si>
  <si>
    <t>Via Viterbo 31 - palestra</t>
  </si>
  <si>
    <t>Via Don Gnocchi 25 - palestra</t>
  </si>
  <si>
    <t>Via Don Gnocchi 25 - aule</t>
  </si>
  <si>
    <t>Piazza Axum 5 - palestra</t>
  </si>
  <si>
    <t>Piazza Axum 5 - aule</t>
  </si>
  <si>
    <t>Via Paravia 83 - aula</t>
  </si>
  <si>
    <t>Via Paravia 83 - giardino esterno</t>
  </si>
  <si>
    <t>Via Delle Betulle 17 - palestra</t>
  </si>
  <si>
    <t>Via Dei Salici 2 - palestra</t>
  </si>
  <si>
    <t>Via Loria 37 - aula</t>
  </si>
  <si>
    <t>Via Loria 37 - palestra grande</t>
  </si>
  <si>
    <t>Via Loria 37 - palestra piccola</t>
  </si>
  <si>
    <t>Via Forze Armate 65 - giardino</t>
  </si>
  <si>
    <t>Via Forze Armate 65 - aula</t>
  </si>
  <si>
    <t>Via Forze Armate 65 - palestra</t>
  </si>
  <si>
    <t>Via Martinetti 25 - palestra grande</t>
  </si>
  <si>
    <t>Via Martinetti 25 - palestra piccola</t>
  </si>
  <si>
    <t>Via Martinetti 25 - aula</t>
  </si>
  <si>
    <t>Via Crimea 22 - palestra</t>
  </si>
  <si>
    <t>Via Crimea 22 - aule</t>
  </si>
  <si>
    <t>Via Muggiano 14 - palestra</t>
  </si>
  <si>
    <t>Via Montebaldo - palestra</t>
  </si>
  <si>
    <t>Via Montebaldo - aule</t>
  </si>
  <si>
    <t>Sala degli Olivetani 
Via A. Da Baggio 55</t>
  </si>
  <si>
    <t>Canone azzerato</t>
  </si>
  <si>
    <t>Auditorium Olmi
Via Delle Betulle 39</t>
  </si>
  <si>
    <t>Palestra Manaresi
Via Manaresi 14</t>
  </si>
  <si>
    <t>Cam Forze Armate 318</t>
  </si>
  <si>
    <t>Nessuna concessione</t>
  </si>
  <si>
    <t>Parco delle Cave</t>
  </si>
  <si>
    <t>effettuati conguagli su canoni anni precedenti - adeguamento ISTAT</t>
  </si>
  <si>
    <t>Via Mosca</t>
  </si>
  <si>
    <t>via Don Gervasini</t>
  </si>
  <si>
    <t>Parco della Cava di Muggiano</t>
  </si>
  <si>
    <t>via Viterbo-Bentivoglio</t>
  </si>
  <si>
    <t>via Castrovillari 14</t>
  </si>
  <si>
    <t>via Molinetto 64</t>
  </si>
  <si>
    <t>via Viterbo 4</t>
  </si>
  <si>
    <t>Cascina Linterno
via F.lli Zoia 194</t>
  </si>
  <si>
    <t>locali c/o CAM Olmi
via delle Betulle 39</t>
  </si>
  <si>
    <r>
      <t xml:space="preserve">TOTALE GENERALE
</t>
    </r>
    <r>
      <rPr>
        <sz val="11"/>
        <color theme="1"/>
        <rFont val="Calibri"/>
        <family val="2"/>
      </rPr>
      <t>importo comprensivo di I.V.A. ai sensi di legge</t>
    </r>
  </si>
  <si>
    <t>Municipio 7</t>
  </si>
  <si>
    <t>Dr.ssa  Scilla Amore</t>
  </si>
  <si>
    <t>Milano, 10 settembre 2024</t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</si>
  <si>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</si>
  <si>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</si>
  <si>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</si>
  <si>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</si>
  <si>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</si>
  <si>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</si>
  <si>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</si>
  <si>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Pisa 1
 Tariffa canone palestra</t>
  </si>
  <si>
    <t>Scuola Primaria via Pisa 1
 Tariffa canone aula</t>
  </si>
  <si>
    <t>Scuola Primaria via Pisa 1
 Tariffa canone refettorio</t>
  </si>
  <si>
    <t>Scuola Primaria via Pisa 1
 Tariffa canone giardino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</si>
  <si>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</si>
  <si>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</si>
  <si>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</si>
  <si>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</si>
  <si>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</si>
  <si>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</si>
  <si>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</si>
  <si>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</si>
  <si>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</si>
  <si>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</si>
  <si>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</si>
  <si>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</si>
  <si>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</si>
  <si>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</si>
  <si>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</si>
  <si>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</si>
  <si>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</si>
  <si>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</si>
  <si>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</si>
  <si>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</si>
  <si>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Primaria via Salerno, 3 
Tariffa canone giardino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</si>
  <si>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</si>
  <si>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</si>
  <si>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</si>
  <si>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</si>
  <si>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</si>
  <si>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</si>
  <si>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</si>
  <si>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</si>
  <si>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</si>
  <si>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</si>
  <si>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</si>
  <si>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</si>
  <si>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</si>
  <si>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</si>
  <si>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</si>
  <si>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</si>
  <si>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</si>
  <si>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</si>
  <si>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</si>
  <si>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si specifica che il numero delle concessioni rilasciate  è inferiore a questo  numero di contratti gestiti  in quanto le concessioni  vengono rilasciate per Istituto coMprensivo e non per singolo plesso</t>
  </si>
  <si>
    <t>ex Fornace tariffa gratuita
Alzaia Naviglio Pavese 16 - piano T</t>
  </si>
  <si>
    <t>ex Fornace tariffa minima
Alzaia Naviglio Pavese 16 - piano T</t>
  </si>
  <si>
    <t>ex Fornace tariffa massima
Alzaia Naviglio Pavese 16 - piano T</t>
  </si>
  <si>
    <t>per le prime 4 ore € 37,18;  la domenica e i festivi  si paga doppia tariffa; dopo le 22:00 viene applicata la tariffa notturna=festiva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</si>
  <si>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</si>
  <si>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</si>
  <si>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</si>
  <si>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</si>
  <si>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</si>
  <si>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</si>
  <si>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 tariffa gratuita</t>
  </si>
  <si>
    <t>SALA CONSILIARE RENZO ORNELLA tariffa massima</t>
  </si>
  <si>
    <t>Seicentro Sala Arianna tariffa gratuita
Via Savona 99</t>
  </si>
  <si>
    <t>Seicentro sala Arianna tariffa minima
Via Savona 99</t>
  </si>
  <si>
    <t>Seicentro sala Arianna tariffa piena
Via Savona 99</t>
  </si>
  <si>
    <t>Seicentro sala Arianna tariffa di mercato
Via Savona 99</t>
  </si>
  <si>
    <t>Seicentro Sala Calliope  tariffa grauita
Via Savona 99</t>
  </si>
  <si>
    <t>Seicentro sala Calliope tariffa minima
Via Savona 99</t>
  </si>
  <si>
    <t>Seicentro sala Calliope tariffa piena
Via Savona 99</t>
  </si>
  <si>
    <t>Seicentro sala Calliope  tariffa di mercato
Via Savona 99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</si>
  <si>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</si>
  <si>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</si>
  <si>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</si>
  <si>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</si>
  <si>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</si>
  <si>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</si>
  <si>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</si>
  <si>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via Soderini 41/2</t>
  </si>
  <si>
    <t>via Parenzo 2/1</t>
  </si>
  <si>
    <t>ex casetta custode all'interno dell'ICS G. Capponi - via Tosi 21</t>
  </si>
  <si>
    <t>566,25 importo pagato nel 2022 a saldo della concessione triennale con scadenza 31/3/24 per  scomputo opere realizzate</t>
  </si>
  <si>
    <t>Centro Polifunzionale "Angelo Valdameri" TRE CASTELLI, via Martinelli n. 53 - Milano</t>
  </si>
  <si>
    <t>Spazio Santi - via Santi 8 - Milano</t>
  </si>
  <si>
    <t>scomputo per opere realizzate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</si>
  <si>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</si>
  <si>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</si>
  <si>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</si>
  <si>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Spazio Ex Deposito della Biblioteca di via S. Paolino 18- p. terra</t>
  </si>
  <si>
    <t>€. 1.470,00</t>
  </si>
  <si>
    <t>La casa delle artiste - Spazio Alda Merini
via Magolfa 32 (foglio 437- mapp.629, 660 e 628)</t>
  </si>
  <si>
    <t>3 strutture all'interno dell'area a verde attrezzata di via Tobagi 4</t>
  </si>
  <si>
    <t>via Faenza 29</t>
  </si>
  <si>
    <t>Alzaia Naviglio Pavese 16 - 1° piano</t>
  </si>
  <si>
    <t>Il Responsabile Unità Coordinamento</t>
  </si>
  <si>
    <t>Municipio 6</t>
  </si>
  <si>
    <t>Dr. Andrea Zelioli</t>
  </si>
  <si>
    <t>Milano, 6 settembre 2024</t>
  </si>
  <si>
    <t>MUNICIPIO 4</t>
  </si>
  <si>
    <t>Palestra Scuola Secondaria Via Mondolfo</t>
  </si>
  <si>
    <t>Palestra Scuola Primaria Via Sordello</t>
  </si>
  <si>
    <t xml:space="preserve">Salone Scuola Primaria Via Sordello </t>
  </si>
  <si>
    <t xml:space="preserve">Aula doposcuola Scuola Primaria Via Sordello </t>
  </si>
  <si>
    <t xml:space="preserve">Palestra Scuola Primaria L.go G. Gonzaga </t>
  </si>
  <si>
    <t xml:space="preserve">Aula sostegno Scuola Primaria L.go G. Gonzaga </t>
  </si>
  <si>
    <t>Aula Scuola Primaria L.go G. Gonzaga</t>
  </si>
  <si>
    <t>Palestra Scuola Primaria Via U. di Nemi</t>
  </si>
  <si>
    <t>Palestra piano terra Scuola Primaria Via Monte Piana</t>
  </si>
  <si>
    <t>Aula Scuola Primaria Via Monte Piana</t>
  </si>
  <si>
    <t xml:space="preserve">Palestra primo piano Scuola Primaria Via Monte Popera </t>
  </si>
  <si>
    <t>Palestra Scuola Secondaria Via Medici del Vascello</t>
  </si>
  <si>
    <t xml:space="preserve">Palestra Scuola Primaria Viale Mugello </t>
  </si>
  <si>
    <t xml:space="preserve">Aula Teatro Scuola Primaria Viale Mugello </t>
  </si>
  <si>
    <t xml:space="preserve">Aula Scuola Primaria Viale Mugello </t>
  </si>
  <si>
    <t xml:space="preserve">Palestra Scuola Secondaria Via Cipro </t>
  </si>
  <si>
    <t xml:space="preserve">Palestra Scuola Primaria Via Polesine </t>
  </si>
  <si>
    <t xml:space="preserve">Palestra piano terra Scuola Primaria Via Oglio </t>
  </si>
  <si>
    <t xml:space="preserve">Palestra Scuola Secondaria Via Mincio </t>
  </si>
  <si>
    <t xml:space="preserve">Palestra  Scuola Primaria Via Monte Velino </t>
  </si>
  <si>
    <t>Auditorium Scuola Secondaria                     Tito Livio</t>
  </si>
  <si>
    <t xml:space="preserve">Palestra Scuola Secondaria Tito Livio </t>
  </si>
  <si>
    <t xml:space="preserve">Palestra piano terra Scuola Primaria Via Colletta </t>
  </si>
  <si>
    <t xml:space="preserve">Palestra primo piano Scuola Primaria Via Colletta </t>
  </si>
  <si>
    <t>Atrio primo piano lato ascensore Scuola Primaria Via Colletta</t>
  </si>
  <si>
    <t>Atrio primo piano lato materna Scuola Primaria Via Colletta</t>
  </si>
  <si>
    <t>Palestra grande Scuola Primaria Via Ravenna</t>
  </si>
  <si>
    <t xml:space="preserve">Palestra primo piano Scuola Primaria Via Morosini </t>
  </si>
  <si>
    <t xml:space="preserve">Palestra piano terra Scuola Primaria Via Morosini </t>
  </si>
  <si>
    <t xml:space="preserve">Laboratorio Psicomotricità Scuola Primaria Via Morosini </t>
  </si>
  <si>
    <t xml:space="preserve">Salone /Androne Scuola Primaria Via Morosini </t>
  </si>
  <si>
    <t xml:space="preserve">Aula Scuola Primaria Via Morosini </t>
  </si>
  <si>
    <t xml:space="preserve">Aula musica Scuola Primaria Via Morosini </t>
  </si>
  <si>
    <t>Palestra Scuola Secondaria Via Bezzecca</t>
  </si>
  <si>
    <t>Palestra lato Mezzofanti Scuola Primaria Via Mezzofanti</t>
  </si>
  <si>
    <t xml:space="preserve">Palestra lato Devoto Scuola Primaria Via Mezzofanti </t>
  </si>
  <si>
    <t xml:space="preserve">Palestrina aula musica Scuola Primaria Via Mezzofanti </t>
  </si>
  <si>
    <t xml:space="preserve">Aula LIM n. 28 Scuola Primaria Via Mezzofanti </t>
  </si>
  <si>
    <t xml:space="preserve">Palestra Scuola Secondaria Via Dalmazia </t>
  </si>
  <si>
    <t>Palestra piano rialzato Scuola Secondaria Via de Andreis</t>
  </si>
  <si>
    <t>Palestra piano seminterrato Scuola Secondaria Via de Andreis</t>
  </si>
  <si>
    <t xml:space="preserve">Palestra Scuola Primaria Via Decorati </t>
  </si>
  <si>
    <t>Aula Scuola Primaria Via Decorati</t>
  </si>
  <si>
    <t xml:space="preserve">Palestra Scuola Primaria Via Meleri </t>
  </si>
  <si>
    <t xml:space="preserve">Aula inglese Scuola Primaria Via Meleri </t>
  </si>
  <si>
    <t xml:space="preserve">Aula arti marziali Scuola Primaria Via Meleri </t>
  </si>
  <si>
    <t>Palestra Scuola Secondaria Via Cova</t>
  </si>
  <si>
    <t xml:space="preserve">Palestra Scuola Primaria Via Martinengo </t>
  </si>
  <si>
    <t xml:space="preserve">Palestrina Scuola Primaria Via Martinengo </t>
  </si>
  <si>
    <t xml:space="preserve">Palestra Scuola Primaria Viale Puglie </t>
  </si>
  <si>
    <t>Cam Mondolfo</t>
  </si>
  <si>
    <t xml:space="preserve">non si tratta di una tariffa oraria, ma di una tarifa relativa ad un blocco di utilizzo di 4h a cui si aggiunge una tariffa oraria per ogni ora di utilizzo oltre  le prime 4 </t>
  </si>
  <si>
    <t>Salone del Polo Ferrara</t>
  </si>
  <si>
    <t>Chiosco Pizzolpasso</t>
  </si>
  <si>
    <t>Parco Alessandrini</t>
  </si>
  <si>
    <t>Parco G. Cassinis</t>
  </si>
  <si>
    <t xml:space="preserve">Nell'anno 2024 il canone sarà rivalutato secondo l'indice ISTAT </t>
  </si>
  <si>
    <t>Municipio 4</t>
  </si>
  <si>
    <t>*Dr. Tommaso Innocente</t>
  </si>
  <si>
    <t xml:space="preserve">MUNICIPIO 1 </t>
  </si>
  <si>
    <t>Istituto Comprensivo Pascoli 
Via Ruffini, 4/6 - aula</t>
  </si>
  <si>
    <t>Istituto Comprensivo Pascoli 
Via Ruffini, 4/6 - aula 70%</t>
  </si>
  <si>
    <t>Istituto Comprensivo Pascoli 
Via Ruffini, 4/6 - palestra 200 mq</t>
  </si>
  <si>
    <t>Istituto Comprensivo Pascoli 
Via Ruffini, 4/6 - palestra 200 mq 70%</t>
  </si>
  <si>
    <t>Istituto Comprensivo Diaz 
Via Crocefisso - aula</t>
  </si>
  <si>
    <t>Istituto Comprensivo Diaz 
Via Crocefisso - aula 70%</t>
  </si>
  <si>
    <t>Istituto Comprensivo Diaz 
Via Crocefisso - palestra</t>
  </si>
  <si>
    <t>Istituto Comprensivo Diaz 
Via Crocefisso - palestra 70%</t>
  </si>
  <si>
    <t>Istituto Comprensivo Diaz 
Via Sant'Orsola, 15 - aula</t>
  </si>
  <si>
    <t>Istituto Comprensivo Diaz 
Via Sant'Orsola, 15 - aula 70%</t>
  </si>
  <si>
    <t>Istituto Comprensivo Diaz 
Via Sant'Orsola, 15 - palestra mq 185</t>
  </si>
  <si>
    <t>Istituto Comprensivo Diaz 
Via Sant'Orsola, 15 - palestra mq 185 70%</t>
  </si>
  <si>
    <t>Istituto Comprensivo Giusti-Assisi 
Via Giusti, 15 - aula</t>
  </si>
  <si>
    <t>Istituto Comprensivo Giusti-Assisi 
Via Giusti, 15 - aula 70%</t>
  </si>
  <si>
    <t xml:space="preserve">Istituto Comprensivo Giusti-Assisi 
Via Giusti, 15/A- palestra </t>
  </si>
  <si>
    <t>Istituto Comprensivo Giusti-Assisi 
Via Giusti, 15/A- palestra 70%</t>
  </si>
  <si>
    <t xml:space="preserve">Istituto Comprensivo Giusti-Assisi 
Via Giusti, 15/A- aula </t>
  </si>
  <si>
    <t>Istituto Comprensivo Giusti-Assisi 
Via Giusti, 15/A- aula 70%</t>
  </si>
  <si>
    <t>Istituto Comprensivo Giusti-Assisi 
Via Palermo, 7/9 - aula</t>
  </si>
  <si>
    <t>Istituto Comprensivo Giusti-Assisi 
Via Palermo, 7/9 - aula 70%</t>
  </si>
  <si>
    <t>Istituto Comprensivo Cavalieri 
Via Ariberto, 14 - aula</t>
  </si>
  <si>
    <t>Istituto Comprensivo Cavalieri 
Via Ariberto, 14 - aula 70%</t>
  </si>
  <si>
    <t>Istituto Comprensivo Milano-Spiga
Bastioni di Porta Nuova, 4 - aula</t>
  </si>
  <si>
    <t>Istituto Comprensivo Milano-Spiga
Bastioni di Porta Nuova, 4 - aula 70%</t>
  </si>
  <si>
    <t>Istituto Comprensivo Milano-Spiga
Bastioni di Porta Nuova, 4 - palestra 275 mq</t>
  </si>
  <si>
    <t>Istituto Comprensivo Milano-Spiga
Bastioni di Porta Nuova, 4 - palestra 275 mq 70%</t>
  </si>
  <si>
    <t>Istituto Comprensivo Commenda 
Via della Commenda, 22/a - aula</t>
  </si>
  <si>
    <t>Istituto Comprensivo Commenda 
Via della Commenda, 22/a - aula 70%</t>
  </si>
  <si>
    <t>Istituto Comprensivo Commenda 
Via della Commenda, 22/a - palestra 70%</t>
  </si>
  <si>
    <t>Istituto Comprensivo Commenda 
Via Quadronno, 32 - aula</t>
  </si>
  <si>
    <t>Istituto Comprensivo Commenda 
Via Quadronno, 32 - aula 70%</t>
  </si>
  <si>
    <t>Istituto Comprensivo Commenda 
Via Quadronno, 32 - palestra 202 mq. 70%</t>
  </si>
  <si>
    <t xml:space="preserve">Istituto Comprensivo Cuoco - Sassi                                                                                                                                                     Via Corridoni, 34/36 - palestra 169 mq. </t>
  </si>
  <si>
    <t>C.A.M. GABELLE
Via San Marco, 4</t>
  </si>
  <si>
    <t>Salone Atrio</t>
  </si>
  <si>
    <t>tariffa minima fino a 4 ore + € 0,99 per ogni ora in più + costo pulizie orarie € 6,70</t>
  </si>
  <si>
    <t>tariffa massima fino a 4 ore + € 3,70 per ogni ora in più + costo pulizie orarie € 6,70</t>
  </si>
  <si>
    <t>Sala Pianoforte</t>
  </si>
  <si>
    <t>tariffa minima fino a 4 ore + € 0,87 per ogni ora in più + costo pulizie orarie € 3,40</t>
  </si>
  <si>
    <t>tariffa massima fino a 4 ore + € 2,50 per ogni ora in più + costo pulizie orarie € 3,40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</si>
  <si>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</si>
  <si>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</si>
  <si>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</si>
  <si>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</si>
  <si>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</si>
  <si>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</si>
  <si>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</si>
  <si>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</si>
  <si>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 + costo pulizie orarie € 10,00</t>
  </si>
  <si>
    <t>tariffa massima fino a 4 ore + € 5,00 per ogni ora in più + costo pulizie orarie € 10,00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</si>
  <si>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</si>
  <si>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</si>
  <si>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</si>
  <si>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</si>
  <si>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</si>
  <si>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>Effettuata rivalutazione annuale ISTAT sul canone annuo pattuito</t>
  </si>
  <si>
    <t>Yoga Sangha - C.so Porta Romana 116/B</t>
  </si>
  <si>
    <t>Cascina Nascosta - Viale Alemagna</t>
  </si>
  <si>
    <t>Mediolanum Tennis Squash Via Vincenzo Monti, 57 A/8</t>
  </si>
  <si>
    <t>Municipio 1</t>
  </si>
  <si>
    <t>Dr.ssa Vincenza Ciraolo</t>
  </si>
  <si>
    <t>Milano, 6  settembre 2024</t>
  </si>
  <si>
    <t>Per La Responsabile Unità Coordinamento</t>
  </si>
  <si>
    <t>INTROITI PER CONCESSIONI DI LOCALI SCOLASTICI, SPAZI MULTIUSO, IMMOBILI E AREE - PERIODO: GENNAIO – AGOSTO 2024</t>
  </si>
  <si>
    <t>MUNICIPIO 2</t>
  </si>
  <si>
    <t>PALESTRA GRANDE VIA PONTANO, 43 – C.P.I.A. 5</t>
  </si>
  <si>
    <t>PALESTRA VIA GALVANI, 7 – I.C. GALVANI</t>
  </si>
  <si>
    <t>PALESTRA VIA FARA, 32 – I.C. GALVANI</t>
  </si>
  <si>
    <t>PALESTRA SOLARIUM VIA GIACOSA, 46 – I.C. CAPPELLI</t>
  </si>
  <si>
    <t>PADIGLIONE BONGIOVANNI VIA GIACOSA, 46 – I.C. CAPPELLI</t>
  </si>
  <si>
    <t>PADIGLIONE GABELLI VIA GIACOSA, 46 – I.C. CAPPELLI</t>
  </si>
  <si>
    <t>PADIGLIONE TOMMASEO VIA GIACOSA, 46 – I.C. CAPPELLI</t>
  </si>
  <si>
    <t>PADIGLIONE ZADRA VIA GIACOSA, 46 – I.C. CAPPELLI</t>
  </si>
  <si>
    <t>AULA VIA GIACOSA, 46 – I.C. CAPPELLI</t>
  </si>
  <si>
    <t>PALESTRA VIA RUSSO, 23 – I.C. CAPPELLI</t>
  </si>
  <si>
    <t>AULA VIA RUSSO, 23 – I.C. CAPPELLI</t>
  </si>
  <si>
    <t>PALESTRA VIALE ZARA, 96 – I.C. ARBE-ZARA</t>
  </si>
  <si>
    <t>AULA VIALE ZARA, 96 – I.C. ARBE-ZARA</t>
  </si>
  <si>
    <t>CORTILE VIALE ZARA, 96 – I.C. ARBE-ZARA</t>
  </si>
  <si>
    <t>PALESTRA VIA CAGLIERO, 20 – I.C. FRANCESCHI</t>
  </si>
  <si>
    <t>AUDITORIUM VIA MUZIO, 5 – I.C. FRANCESCHI</t>
  </si>
  <si>
    <t>PALESTRA A VIA MUZIO, 5 – I.C. FRANCESCHI</t>
  </si>
  <si>
    <t>PALESTRA B VIA MUZIO, 5 – I.C. FRANCESCHI</t>
  </si>
  <si>
    <t>CORTILE VIA MUZIO, 5 – I.C. FRANCESCHI</t>
  </si>
  <si>
    <t>PALESTRA VIA FRIGIA, 4 – I.C. CALVINO</t>
  </si>
  <si>
    <t>PALESTRA VIA MATTEI, 12 – I.C. CALVINO</t>
  </si>
  <si>
    <t>ATRIO VIA MATTEI, 12 – I.C. CALVINO</t>
  </si>
  <si>
    <t>AULA TEATRO VIA SANT’UGUZZONE, 10 – I.C. CALVINO</t>
  </si>
  <si>
    <t>PALESTRA VIA SANT’UGUZZONE, 10 – I.C. CALVINO</t>
  </si>
  <si>
    <t>PALESTRA VIA ADRIANO, 60 – I.C. PERASSO</t>
  </si>
  <si>
    <t>PALESTRA VIA BOTTEGO, 4 – I.C. PERASSO</t>
  </si>
  <si>
    <t>AULA VIA BOTTEGO, 4 – I.C. PERASSO</t>
  </si>
  <si>
    <t>PALESTRA VIA SAN MAMETE, 11 – I.C. PERASSO</t>
  </si>
  <si>
    <t>PALESTRINA VIA SAN MAMETE, 11 – I.C. PERASSO</t>
  </si>
  <si>
    <t>ATRIO VIA SAN MAMETE, 11 – I.C. PERASSO</t>
  </si>
  <si>
    <t>PALESTRA VIA BOTTELLI, 1 – I.C. LOCATELLI-QUASIMODO</t>
  </si>
  <si>
    <t>PALESTRA VIA DELLA GIUSTIZIA, 6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</si>
  <si>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</si>
  <si>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</si>
  <si>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</si>
  <si>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</si>
  <si>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GIORGI</t>
  </si>
  <si>
    <t>AULA VIA VENINI, 80 – I.C. GIORGI</t>
  </si>
  <si>
    <t>AULA VIALE BRIANZA, 18 – I.C. GIORGI</t>
  </si>
  <si>
    <t>PALESTRA ALTA VIALE BRIANZA, 18 – I.C. GIORGI</t>
  </si>
  <si>
    <t>PALESTRA BASSA VIALE BRIANZA, 18 – I.C. GIORGI</t>
  </si>
  <si>
    <t>CASCINA TURRO</t>
  </si>
  <si>
    <t>SALA ANFITEATRO MARTESANA</t>
  </si>
  <si>
    <t>SALA SANT’UGUZZONE</t>
  </si>
  <si>
    <t>struttura monopiano ex edificio scolastico scuola materna/ Via Sant'Uguzzone, 8 concessionario ATI casa dei Giochi</t>
  </si>
  <si>
    <t>Anfiteatro Martesana / concessionario ETC Ecologia Turismo e Cultura</t>
  </si>
  <si>
    <t xml:space="preserve">Sono decurtate dal canone le spese inerenti gli interventi di recupero edilizio ed impiantistico del fabbricato. </t>
  </si>
  <si>
    <t>Anfiteatro Martesana / concessionario Associazione 42</t>
  </si>
  <si>
    <t>bar all'interno del Parco Franca Rame concessionario Alma Bar</t>
  </si>
  <si>
    <t xml:space="preserve">Alloggio custodia plesso scolastico via Frigia 4 - Associazione Sportiva Dilettantistica San  Gabriele Basket </t>
  </si>
  <si>
    <t>nessuna concession</t>
  </si>
  <si>
    <t>La responsabile Unità coordinamento</t>
  </si>
  <si>
    <t>Municipio 2</t>
  </si>
  <si>
    <t>*Dr.ssa Loredana Bellanca</t>
  </si>
  <si>
    <t>Contratto concluso a dicembre 2023. Quota arretrata introitata ad agosto 2024, composta da una rata trimestrale e il residuo di una rata pregressa.</t>
  </si>
  <si>
    <t>Milano, 13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</si>
</sst>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#,##0.00\ &quot;€&quot;"/>
    <numFmt numFmtId="165" formatCode="&quot;€&quot;\ #,##0.00"/>
    <numFmt numFmtId="166" formatCode="[$€-2]\ #,##0.00"/>
    <numFmt numFmtId="167" formatCode="[$€-2]\ #,##0.00;\-[$€-2]\ #,##0.00"/>
    <numFmt numFmtId="168" formatCode="[$€-2]\ #,##0.00;[Red][$€-2]\ #,##0.00"/>
    <numFmt numFmtId="169" formatCode="&quot;€ &quot;#,##0.00"/>
    <numFmt numFmtId="170" formatCode="#,##0;[Red]#,##0"/>
    <numFmt numFmtId="171" formatCode="0;[Red]0"/>
    <numFmt numFmtId="172" formatCode="[$€-410]\ #,##0.00;[Red]\-[$€-410]\ #,##0.00"/>
    <numFmt numFmtId="173" formatCode="_-* #,##0.00\ [$€-410]_-;\-* #,##0.00\ [$€-410]_-;_-* \-??\ [$€-410]_-;_-@_-"/>
    <numFmt numFmtId="174" formatCode="#,##0.00&quot; €&quot;"/>
    <numFmt numFmtId="175" formatCode="[$-410]dd/mm/yyyy"/>
  </numFmts>
  <fonts count="7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Frutige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Frutiger"/>
    </font>
    <font>
      <sz val="9"/>
      <color rgb="FFFF0000"/>
      <name val="Aptos Narrow"/>
      <family val="2"/>
      <scheme val="minor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  <charset val="1"/>
    </font>
    <font>
      <sz val="9"/>
      <name val="Aptos Narrow"/>
      <family val="2"/>
      <scheme val="minor"/>
    </font>
    <font>
      <b/>
      <sz val="12"/>
      <name val="Calibri"/>
      <family val="2"/>
      <charset val="1"/>
    </font>
    <font>
      <sz val="9"/>
      <color theme="1"/>
      <name val="Aptos Narrow"/>
      <family val="2"/>
      <scheme val="minor"/>
    </font>
    <font>
      <sz val="9"/>
      <name val="Calibri"/>
      <family val="2"/>
      <charset val="1"/>
    </font>
    <font>
      <b/>
      <i/>
      <sz val="12"/>
      <name val="Calibri"/>
      <family val="2"/>
      <charset val="1"/>
    </font>
    <font>
      <sz val="14"/>
      <color theme="1"/>
      <name val="Aptos Narrow"/>
      <family val="2"/>
      <charset val="1"/>
      <scheme val="minor"/>
    </font>
    <font>
      <b/>
      <sz val="13"/>
      <color rgb="FF000000"/>
      <name val="Calibri"/>
      <family val="2"/>
      <charset val="1"/>
    </font>
    <font>
      <sz val="16"/>
      <color theme="1"/>
      <name val="Frutiger"/>
      <charset val="1"/>
    </font>
    <font>
      <b/>
      <sz val="14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4C7E7"/>
        <bgColor rgb="FFCCCCFF"/>
      </patternFill>
    </fill>
    <fill>
      <patternFill patternType="solid">
        <fgColor theme="3" tint="0.79979857783745845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DAE7F6"/>
        <bgColor rgb="FFDCE6F2"/>
      </patternFill>
    </fill>
    <fill>
      <patternFill patternType="solid">
        <fgColor rgb="FFB9CDE5"/>
        <b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6" fillId="0" borderId="0"/>
    <xf numFmtId="0" fontId="26" fillId="0" borderId="0"/>
  </cellStyleXfs>
  <cellXfs count="3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wrapText="1"/>
    </xf>
    <xf numFmtId="0" fontId="9" fillId="0" borderId="1" xfId="0" quotePrefix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67" fontId="9" fillId="0" borderId="1" xfId="0" applyNumberFormat="1" applyFont="1" applyBorder="1" applyAlignment="1">
      <alignment horizontal="center" vertical="center"/>
    </xf>
    <xf numFmtId="167" fontId="9" fillId="0" borderId="1" xfId="0" quotePrefix="1" applyNumberFormat="1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69" fontId="0" fillId="0" borderId="4" xfId="0" applyNumberFormat="1" applyBorder="1" applyAlignment="1">
      <alignment horizontal="center" vertical="center" wrapText="1"/>
    </xf>
    <xf numFmtId="166" fontId="34" fillId="3" borderId="4" xfId="0" applyNumberFormat="1" applyFont="1" applyFill="1" applyBorder="1" applyAlignment="1">
      <alignment horizontal="center" vertical="center" wrapText="1"/>
    </xf>
    <xf numFmtId="166" fontId="35" fillId="3" borderId="4" xfId="1" applyNumberFormat="1" applyFont="1" applyFill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166" fontId="34" fillId="3" borderId="1" xfId="0" applyNumberFormat="1" applyFont="1" applyFill="1" applyBorder="1" applyAlignment="1">
      <alignment horizontal="center" vertical="center" wrapText="1"/>
    </xf>
    <xf numFmtId="166" fontId="35" fillId="3" borderId="1" xfId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169" fontId="33" fillId="0" borderId="1" xfId="0" applyNumberFormat="1" applyFont="1" applyBorder="1" applyAlignment="1">
      <alignment horizontal="center" vertical="center" wrapText="1"/>
    </xf>
    <xf numFmtId="169" fontId="0" fillId="6" borderId="1" xfId="0" applyNumberFormat="1" applyFill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37" fillId="0" borderId="1" xfId="0" quotePrefix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6" fontId="27" fillId="0" borderId="1" xfId="1" applyNumberFormat="1" applyFont="1" applyBorder="1" applyAlignment="1">
      <alignment horizontal="center" vertical="center" wrapText="1"/>
    </xf>
    <xf numFmtId="166" fontId="31" fillId="0" borderId="4" xfId="0" applyNumberFormat="1" applyFont="1" applyBorder="1" applyAlignment="1">
      <alignment horizontal="center" vertical="center" wrapText="1"/>
    </xf>
    <xf numFmtId="166" fontId="33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1" fontId="27" fillId="0" borderId="1" xfId="1" applyNumberFormat="1" applyFont="1" applyBorder="1" applyAlignment="1">
      <alignment horizontal="center" vertical="center" wrapText="1"/>
    </xf>
    <xf numFmtId="166" fontId="27" fillId="0" borderId="4" xfId="1" applyNumberFormat="1" applyFont="1" applyBorder="1" applyAlignment="1">
      <alignment horizontal="center" vertical="center" wrapText="1"/>
    </xf>
    <xf numFmtId="169" fontId="36" fillId="0" borderId="1" xfId="0" applyNumberFormat="1" applyFont="1" applyBorder="1" applyAlignment="1">
      <alignment horizontal="center" vertical="center" wrapText="1"/>
    </xf>
    <xf numFmtId="166" fontId="27" fillId="0" borderId="2" xfId="1" applyNumberFormat="1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1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 wrapText="1"/>
    </xf>
    <xf numFmtId="1" fontId="35" fillId="0" borderId="4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vertical="center" wrapText="1"/>
    </xf>
    <xf numFmtId="0" fontId="39" fillId="0" borderId="1" xfId="0" applyFont="1" applyBorder="1"/>
    <xf numFmtId="0" fontId="39" fillId="0" borderId="4" xfId="0" applyFont="1" applyBorder="1"/>
    <xf numFmtId="0" fontId="39" fillId="0" borderId="1" xfId="0" applyFont="1" applyBorder="1" applyAlignment="1">
      <alignment wrapText="1"/>
    </xf>
    <xf numFmtId="0" fontId="39" fillId="0" borderId="4" xfId="0" applyFont="1" applyBorder="1" applyAlignment="1">
      <alignment horizontal="center" vertical="center"/>
    </xf>
    <xf numFmtId="14" fontId="9" fillId="0" borderId="0" xfId="0" applyNumberFormat="1" applyFont="1"/>
    <xf numFmtId="0" fontId="44" fillId="0" borderId="0" xfId="0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1" fontId="48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48" fillId="3" borderId="1" xfId="0" applyFont="1" applyFill="1" applyBorder="1" applyAlignment="1">
      <alignment vertical="center" wrapText="1"/>
    </xf>
    <xf numFmtId="4" fontId="48" fillId="3" borderId="1" xfId="0" applyNumberFormat="1" applyFont="1" applyFill="1" applyBorder="1" applyAlignment="1">
      <alignment vertical="center" wrapText="1"/>
    </xf>
    <xf numFmtId="1" fontId="48" fillId="3" borderId="1" xfId="0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vertical="center" wrapText="1"/>
    </xf>
    <xf numFmtId="169" fontId="49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0" fillId="0" borderId="0" xfId="0" applyNumberFormat="1"/>
    <xf numFmtId="1" fontId="51" fillId="0" borderId="1" xfId="0" applyNumberFormat="1" applyFont="1" applyBorder="1" applyAlignment="1">
      <alignment horizontal="center" vertical="center" wrapText="1"/>
    </xf>
    <xf numFmtId="0" fontId="50" fillId="0" borderId="0" xfId="0" applyFont="1"/>
    <xf numFmtId="0" fontId="50" fillId="0" borderId="1" xfId="0" applyFont="1" applyBorder="1"/>
    <xf numFmtId="166" fontId="30" fillId="0" borderId="1" xfId="0" applyNumberFormat="1" applyFont="1" applyBorder="1" applyAlignment="1">
      <alignment horizontal="center" vertical="center" wrapText="1"/>
    </xf>
    <xf numFmtId="166" fontId="48" fillId="0" borderId="1" xfId="0" applyNumberFormat="1" applyFont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 wrapText="1"/>
    </xf>
    <xf numFmtId="166" fontId="48" fillId="3" borderId="1" xfId="0" applyNumberFormat="1" applyFont="1" applyFill="1" applyBorder="1" applyAlignment="1">
      <alignment horizontal="center" vertical="center"/>
    </xf>
    <xf numFmtId="166" fontId="49" fillId="0" borderId="1" xfId="0" applyNumberFormat="1" applyFont="1" applyBorder="1" applyAlignment="1">
      <alignment horizontal="center" vertical="center" wrapText="1"/>
    </xf>
    <xf numFmtId="166" fontId="0" fillId="10" borderId="1" xfId="0" applyNumberFormat="1" applyFill="1" applyBorder="1" applyAlignment="1">
      <alignment horizontal="center" vertical="center" wrapText="1"/>
    </xf>
    <xf numFmtId="166" fontId="50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44" fontId="52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44" fontId="56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44" fontId="60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3" fillId="11" borderId="1" xfId="0" applyFont="1" applyFill="1" applyBorder="1" applyAlignment="1">
      <alignment horizontal="left" vertical="center"/>
    </xf>
    <xf numFmtId="167" fontId="52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167" fontId="62" fillId="0" borderId="1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0" fontId="52" fillId="11" borderId="1" xfId="0" applyFont="1" applyFill="1" applyBorder="1" applyAlignment="1">
      <alignment horizontal="left" vertical="center"/>
    </xf>
    <xf numFmtId="0" fontId="60" fillId="0" borderId="1" xfId="0" applyFont="1" applyBorder="1" applyAlignment="1">
      <alignment horizontal="left" vertical="center" wrapText="1"/>
    </xf>
    <xf numFmtId="167" fontId="60" fillId="0" borderId="1" xfId="0" applyNumberFormat="1" applyFont="1" applyBorder="1" applyAlignment="1">
      <alignment horizontal="center" vertical="center" wrapText="1"/>
    </xf>
    <xf numFmtId="0" fontId="63" fillId="0" borderId="1" xfId="0" quotePrefix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35" fillId="0" borderId="1" xfId="0" quotePrefix="1" applyFont="1" applyBorder="1" applyAlignment="1">
      <alignment horizontal="center" vertical="center" wrapText="1"/>
    </xf>
    <xf numFmtId="167" fontId="64" fillId="0" borderId="1" xfId="0" applyNumberFormat="1" applyFont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165" fontId="52" fillId="0" borderId="1" xfId="0" applyNumberFormat="1" applyFont="1" applyBorder="1" applyAlignment="1">
      <alignment horizontal="left" vertical="center" wrapText="1"/>
    </xf>
    <xf numFmtId="165" fontId="60" fillId="0" borderId="1" xfId="0" applyNumberFormat="1" applyFont="1" applyBorder="1" applyAlignment="1">
      <alignment horizontal="left" vertical="center" wrapText="1"/>
    </xf>
    <xf numFmtId="166" fontId="64" fillId="0" borderId="1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165" fontId="52" fillId="3" borderId="1" xfId="0" applyNumberFormat="1" applyFont="1" applyFill="1" applyBorder="1" applyAlignment="1">
      <alignment horizontal="left" vertical="center" wrapText="1"/>
    </xf>
    <xf numFmtId="0" fontId="60" fillId="4" borderId="1" xfId="0" applyFont="1" applyFill="1" applyBorder="1" applyAlignment="1">
      <alignment horizontal="center" vertical="center" wrapText="1"/>
    </xf>
    <xf numFmtId="165" fontId="60" fillId="0" borderId="1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44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right" vertical="center" wrapText="1"/>
    </xf>
    <xf numFmtId="14" fontId="62" fillId="0" borderId="0" xfId="0" applyNumberFormat="1" applyFont="1" applyAlignment="1">
      <alignment vertical="center"/>
    </xf>
    <xf numFmtId="14" fontId="52" fillId="0" borderId="0" xfId="0" applyNumberFormat="1" applyFont="1" applyAlignment="1">
      <alignment vertical="center"/>
    </xf>
    <xf numFmtId="166" fontId="52" fillId="0" borderId="1" xfId="0" applyNumberFormat="1" applyFont="1" applyBorder="1" applyAlignment="1">
      <alignment horizontal="center" vertical="center" wrapText="1"/>
    </xf>
    <xf numFmtId="166" fontId="62" fillId="0" borderId="1" xfId="0" applyNumberFormat="1" applyFont="1" applyBorder="1" applyAlignment="1">
      <alignment horizontal="center" vertical="center" wrapText="1"/>
    </xf>
    <xf numFmtId="166" fontId="60" fillId="0" borderId="1" xfId="0" applyNumberFormat="1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1" fontId="62" fillId="0" borderId="1" xfId="0" applyNumberFormat="1" applyFont="1" applyBorder="1" applyAlignment="1">
      <alignment horizontal="center" vertical="center" wrapText="1"/>
    </xf>
    <xf numFmtId="1" fontId="52" fillId="3" borderId="1" xfId="0" applyNumberFormat="1" applyFont="1" applyFill="1" applyBorder="1" applyAlignment="1">
      <alignment horizontal="center" vertical="center" wrapText="1"/>
    </xf>
    <xf numFmtId="1" fontId="60" fillId="0" borderId="1" xfId="0" applyNumberFormat="1" applyFont="1" applyBorder="1" applyAlignment="1">
      <alignment horizontal="center" vertical="center"/>
    </xf>
    <xf numFmtId="1" fontId="62" fillId="0" borderId="1" xfId="0" applyNumberFormat="1" applyFont="1" applyBorder="1" applyAlignment="1">
      <alignment horizontal="center" vertical="center"/>
    </xf>
    <xf numFmtId="1" fontId="64" fillId="0" borderId="1" xfId="0" applyNumberFormat="1" applyFont="1" applyBorder="1" applyAlignment="1">
      <alignment horizontal="center" vertical="center"/>
    </xf>
    <xf numFmtId="1" fontId="64" fillId="0" borderId="1" xfId="0" applyNumberFormat="1" applyFont="1" applyBorder="1" applyAlignment="1">
      <alignment horizontal="center" vertical="center" wrapText="1"/>
    </xf>
    <xf numFmtId="1" fontId="53" fillId="0" borderId="1" xfId="0" applyNumberFormat="1" applyFont="1" applyBorder="1" applyAlignment="1">
      <alignment horizontal="center" vertical="center" wrapText="1"/>
    </xf>
    <xf numFmtId="1" fontId="66" fillId="0" borderId="1" xfId="0" applyNumberFormat="1" applyFont="1" applyBorder="1" applyAlignment="1">
      <alignment horizontal="center" vertical="center" wrapText="1"/>
    </xf>
    <xf numFmtId="1" fontId="60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2" fontId="0" fillId="0" borderId="0" xfId="0" applyNumberFormat="1"/>
    <xf numFmtId="173" fontId="28" fillId="0" borderId="0" xfId="0" applyNumberFormat="1" applyFont="1"/>
    <xf numFmtId="1" fontId="53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69" fontId="28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67" fillId="0" borderId="1" xfId="0" quotePrefix="1" applyFont="1" applyBorder="1" applyAlignment="1">
      <alignment vertical="center" wrapText="1"/>
    </xf>
    <xf numFmtId="166" fontId="9" fillId="0" borderId="1" xfId="0" quotePrefix="1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169" fontId="28" fillId="0" borderId="0" xfId="0" applyNumberFormat="1" applyFont="1" applyAlignment="1">
      <alignment horizontal="center" vertical="center" wrapText="1"/>
    </xf>
    <xf numFmtId="166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1" xfId="0" quotePrefix="1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65" fontId="17" fillId="3" borderId="1" xfId="0" applyNumberFormat="1" applyFont="1" applyFill="1" applyBorder="1" applyAlignment="1">
      <alignment horizontal="center" vertical="center" wrapText="1"/>
    </xf>
    <xf numFmtId="1" fontId="69" fillId="0" borderId="1" xfId="0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6" fontId="9" fillId="3" borderId="1" xfId="0" quotePrefix="1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 wrapText="1"/>
    </xf>
    <xf numFmtId="1" fontId="68" fillId="0" borderId="1" xfId="0" applyNumberFormat="1" applyFont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 wrapText="1"/>
    </xf>
    <xf numFmtId="169" fontId="3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74" fontId="36" fillId="6" borderId="0" xfId="0" applyNumberFormat="1" applyFont="1" applyFill="1" applyAlignment="1">
      <alignment horizontal="center" vertical="center" wrapText="1"/>
    </xf>
    <xf numFmtId="175" fontId="0" fillId="0" borderId="0" xfId="0" applyNumberFormat="1"/>
    <xf numFmtId="166" fontId="0" fillId="0" borderId="0" xfId="0" applyNumberForma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 wrapText="1"/>
    </xf>
    <xf numFmtId="166" fontId="36" fillId="6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7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 wrapText="1"/>
    </xf>
    <xf numFmtId="166" fontId="51" fillId="0" borderId="1" xfId="0" applyNumberFormat="1" applyFont="1" applyBorder="1" applyAlignment="1">
      <alignment horizontal="center" vertical="center" wrapText="1"/>
    </xf>
    <xf numFmtId="1" fontId="68" fillId="3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" fontId="27" fillId="0" borderId="4" xfId="1" applyNumberFormat="1" applyFont="1" applyBorder="1" applyAlignment="1">
      <alignment horizontal="center" vertical="center" wrapText="1"/>
    </xf>
    <xf numFmtId="1" fontId="27" fillId="0" borderId="2" xfId="1" applyNumberFormat="1" applyFont="1" applyBorder="1" applyAlignment="1">
      <alignment horizontal="center" vertical="center" wrapText="1"/>
    </xf>
    <xf numFmtId="167" fontId="59" fillId="0" borderId="1" xfId="2" applyNumberFormat="1" applyFont="1" applyBorder="1" applyAlignment="1">
      <alignment horizontal="center" vertical="center" wrapText="1"/>
    </xf>
    <xf numFmtId="171" fontId="59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6" fontId="0" fillId="3" borderId="2" xfId="0" applyNumberFormat="1" applyFill="1" applyBorder="1" applyAlignment="1">
      <alignment horizontal="center" vertical="center"/>
    </xf>
    <xf numFmtId="166" fontId="0" fillId="3" borderId="4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6" fontId="0" fillId="3" borderId="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1" fontId="0" fillId="3" borderId="4" xfId="0" applyNumberForma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6" fontId="27" fillId="0" borderId="8" xfId="1" applyNumberFormat="1" applyFont="1" applyBorder="1" applyAlignment="1">
      <alignment horizontal="center" vertical="center" wrapText="1"/>
    </xf>
    <xf numFmtId="166" fontId="27" fillId="0" borderId="7" xfId="1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66" fontId="27" fillId="0" borderId="6" xfId="1" applyNumberFormat="1" applyFont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9" fillId="8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3" fillId="11" borderId="2" xfId="0" applyFont="1" applyFill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3" fillId="11" borderId="3" xfId="0" applyFont="1" applyFill="1" applyBorder="1" applyAlignment="1">
      <alignment horizontal="left" vertical="center"/>
    </xf>
    <xf numFmtId="0" fontId="53" fillId="11" borderId="4" xfId="0" applyFont="1" applyFill="1" applyBorder="1" applyAlignment="1">
      <alignment horizontal="left" vertical="center"/>
    </xf>
    <xf numFmtId="0" fontId="52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2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5" fillId="0" borderId="1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 xr:uid="{709021C8-5BDE-45EF-801F-7CE0B57E55DA}"/>
    <cellStyle name="Normale 3" xfId="1" xr:uid="{1BCF6743-A289-4905-ADF5-9B51C63EE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1EA1-1DC8-4312-A32A-C812B65B7C92}">
  <dimension ref="A1:AW94"/>
  <sheetViews>
    <sheetView topLeftCell="A70" zoomScale="80" zoomScaleNormal="80" workbookViewId="0">
      <selection activeCell="H75" sqref="H75"/>
    </sheetView>
  </sheetViews>
  <sheetFormatPr defaultColWidth="9.109375" defaultRowHeight="14.4"/>
  <cols>
    <col min="1" max="1" width="3.44140625" customWidth="1"/>
    <col min="2" max="2" width="38.88671875" customWidth="1"/>
    <col min="3" max="3" width="49.33203125" customWidth="1"/>
    <col min="4" max="4" width="46.88671875" customWidth="1"/>
    <col min="5" max="5" width="15.88671875" customWidth="1"/>
    <col min="6" max="6" width="14.33203125" customWidth="1"/>
    <col min="7" max="7" width="15.33203125" customWidth="1"/>
    <col min="8" max="8" width="61" customWidth="1"/>
  </cols>
  <sheetData>
    <row r="1" spans="2:11" ht="30" customHeight="1">
      <c r="B1" s="1" t="s">
        <v>0</v>
      </c>
    </row>
    <row r="2" spans="2:11" ht="25.5" customHeight="1">
      <c r="B2" s="1" t="s">
        <v>1</v>
      </c>
      <c r="E2" s="2"/>
      <c r="F2" s="2"/>
    </row>
    <row r="3" spans="2:11" ht="12.75" customHeight="1">
      <c r="B3" s="1"/>
      <c r="E3" s="2"/>
      <c r="F3" s="2"/>
    </row>
    <row r="4" spans="2:11" ht="32.25" customHeight="1">
      <c r="B4" s="302" t="s">
        <v>224</v>
      </c>
      <c r="C4" s="302"/>
      <c r="D4" s="302"/>
      <c r="E4" s="302"/>
      <c r="F4" s="302"/>
      <c r="G4" s="302"/>
      <c r="H4" s="302"/>
    </row>
    <row r="5" spans="2:11" ht="31.5" customHeight="1">
      <c r="B5" s="302" t="s">
        <v>459</v>
      </c>
      <c r="C5" s="302"/>
      <c r="D5" s="302"/>
      <c r="E5" s="302"/>
      <c r="F5" s="302"/>
      <c r="G5" s="302"/>
      <c r="H5" s="302"/>
    </row>
    <row r="6" spans="2:11" ht="26.25" customHeight="1">
      <c r="B6" s="303" t="s">
        <v>3</v>
      </c>
      <c r="C6" s="303"/>
      <c r="D6" s="303"/>
      <c r="E6" s="303"/>
      <c r="F6" s="303"/>
      <c r="G6" s="303"/>
      <c r="H6" s="303"/>
    </row>
    <row r="7" spans="2:11" ht="73.5" customHeight="1">
      <c r="B7" s="3" t="s">
        <v>4</v>
      </c>
      <c r="C7" s="304" t="s">
        <v>5</v>
      </c>
      <c r="D7" s="305"/>
      <c r="E7" s="4" t="s">
        <v>6</v>
      </c>
      <c r="F7" s="4" t="s">
        <v>7</v>
      </c>
      <c r="G7" s="4" t="s">
        <v>8</v>
      </c>
      <c r="H7" s="5" t="s">
        <v>9</v>
      </c>
    </row>
    <row r="8" spans="2:11" ht="36.75" customHeight="1">
      <c r="B8" s="306" t="s">
        <v>10</v>
      </c>
      <c r="C8" s="291" t="s">
        <v>460</v>
      </c>
      <c r="D8" s="292"/>
      <c r="E8" s="275">
        <v>2367.34</v>
      </c>
      <c r="F8" s="239">
        <v>6.24</v>
      </c>
      <c r="G8" s="300">
        <v>4</v>
      </c>
      <c r="H8" s="5"/>
      <c r="K8" s="41"/>
    </row>
    <row r="9" spans="2:11" ht="36.75" customHeight="1">
      <c r="B9" s="307"/>
      <c r="C9" s="291" t="s">
        <v>461</v>
      </c>
      <c r="D9" s="292"/>
      <c r="E9" s="293"/>
      <c r="F9" s="239">
        <v>1.87</v>
      </c>
      <c r="G9" s="295"/>
      <c r="H9" s="5"/>
    </row>
    <row r="10" spans="2:11" ht="36.75" customHeight="1">
      <c r="B10" s="307"/>
      <c r="C10" s="291" t="s">
        <v>462</v>
      </c>
      <c r="D10" s="292"/>
      <c r="E10" s="309"/>
      <c r="F10" s="239">
        <v>9.09</v>
      </c>
      <c r="G10" s="295"/>
      <c r="H10" s="5"/>
    </row>
    <row r="11" spans="2:11" ht="36.75" customHeight="1">
      <c r="B11" s="307"/>
      <c r="C11" s="291" t="s">
        <v>463</v>
      </c>
      <c r="D11" s="292"/>
      <c r="E11" s="310"/>
      <c r="F11" s="239">
        <v>2.73</v>
      </c>
      <c r="G11" s="296"/>
      <c r="H11" s="5"/>
    </row>
    <row r="12" spans="2:11" ht="36.75" customHeight="1">
      <c r="B12" s="307"/>
      <c r="C12" s="291" t="s">
        <v>464</v>
      </c>
      <c r="D12" s="292"/>
      <c r="E12" s="275">
        <v>1452.73</v>
      </c>
      <c r="F12" s="239">
        <v>6.24</v>
      </c>
      <c r="G12" s="294">
        <v>1</v>
      </c>
      <c r="H12" s="5"/>
    </row>
    <row r="13" spans="2:11" ht="36.75" customHeight="1">
      <c r="B13" s="307"/>
      <c r="C13" s="291" t="s">
        <v>465</v>
      </c>
      <c r="D13" s="292"/>
      <c r="E13" s="293"/>
      <c r="F13" s="239">
        <v>1.87</v>
      </c>
      <c r="G13" s="295"/>
      <c r="H13" s="5"/>
    </row>
    <row r="14" spans="2:11" ht="36.75" customHeight="1">
      <c r="B14" s="307"/>
      <c r="C14" s="291" t="s">
        <v>466</v>
      </c>
      <c r="D14" s="292"/>
      <c r="E14" s="309"/>
      <c r="F14" s="239">
        <v>9.09</v>
      </c>
      <c r="G14" s="295"/>
      <c r="H14" s="5"/>
    </row>
    <row r="15" spans="2:11" ht="36.75" customHeight="1">
      <c r="B15" s="307"/>
      <c r="C15" s="291" t="s">
        <v>467</v>
      </c>
      <c r="D15" s="292"/>
      <c r="E15" s="310"/>
      <c r="F15" s="239">
        <v>2.73</v>
      </c>
      <c r="G15" s="296"/>
      <c r="H15" s="5"/>
    </row>
    <row r="16" spans="2:11" ht="36.75" customHeight="1">
      <c r="B16" s="307"/>
      <c r="C16" s="291" t="s">
        <v>468</v>
      </c>
      <c r="D16" s="292"/>
      <c r="E16" s="275">
        <v>1233.25</v>
      </c>
      <c r="F16" s="239">
        <v>6.24</v>
      </c>
      <c r="G16" s="294">
        <v>2</v>
      </c>
      <c r="H16" s="5"/>
    </row>
    <row r="17" spans="2:8" ht="36.75" customHeight="1">
      <c r="B17" s="307"/>
      <c r="C17" s="291" t="s">
        <v>469</v>
      </c>
      <c r="D17" s="292"/>
      <c r="E17" s="293"/>
      <c r="F17" s="239">
        <v>1.87</v>
      </c>
      <c r="G17" s="295"/>
      <c r="H17" s="5"/>
    </row>
    <row r="18" spans="2:8" ht="36.75" customHeight="1">
      <c r="B18" s="307"/>
      <c r="C18" s="291" t="s">
        <v>470</v>
      </c>
      <c r="D18" s="292"/>
      <c r="E18" s="309"/>
      <c r="F18" s="239">
        <v>9.09</v>
      </c>
      <c r="G18" s="295"/>
      <c r="H18" s="5"/>
    </row>
    <row r="19" spans="2:8" ht="36.75" customHeight="1">
      <c r="B19" s="307"/>
      <c r="C19" s="291" t="s">
        <v>471</v>
      </c>
      <c r="D19" s="292"/>
      <c r="E19" s="309"/>
      <c r="F19" s="239">
        <v>2.73</v>
      </c>
      <c r="G19" s="295"/>
      <c r="H19" s="5"/>
    </row>
    <row r="20" spans="2:8" ht="36.75" customHeight="1">
      <c r="B20" s="307"/>
      <c r="C20" s="291" t="s">
        <v>470</v>
      </c>
      <c r="D20" s="292"/>
      <c r="E20" s="309"/>
      <c r="F20" s="239">
        <v>15.91</v>
      </c>
      <c r="G20" s="295"/>
      <c r="H20" s="5"/>
    </row>
    <row r="21" spans="2:8" ht="36.75" customHeight="1">
      <c r="B21" s="307"/>
      <c r="C21" s="291" t="s">
        <v>471</v>
      </c>
      <c r="D21" s="292"/>
      <c r="E21" s="310"/>
      <c r="F21" s="239">
        <v>4.7699999999999996</v>
      </c>
      <c r="G21" s="296"/>
      <c r="H21" s="5"/>
    </row>
    <row r="22" spans="2:8" ht="36.75" customHeight="1">
      <c r="B22" s="307"/>
      <c r="C22" s="291" t="s">
        <v>472</v>
      </c>
      <c r="D22" s="292"/>
      <c r="E22" s="275">
        <v>369.98</v>
      </c>
      <c r="F22" s="239">
        <v>6.24</v>
      </c>
      <c r="G22" s="300">
        <v>2</v>
      </c>
      <c r="H22" s="5"/>
    </row>
    <row r="23" spans="2:8" ht="36.75" customHeight="1">
      <c r="B23" s="307"/>
      <c r="C23" s="291" t="s">
        <v>473</v>
      </c>
      <c r="D23" s="292"/>
      <c r="E23" s="276"/>
      <c r="F23" s="239">
        <v>1.87</v>
      </c>
      <c r="G23" s="295"/>
      <c r="H23" s="5"/>
    </row>
    <row r="24" spans="2:8" ht="36.75" customHeight="1">
      <c r="B24" s="307"/>
      <c r="C24" s="291" t="s">
        <v>474</v>
      </c>
      <c r="D24" s="292"/>
      <c r="E24" s="275">
        <v>537.29</v>
      </c>
      <c r="F24" s="239">
        <v>15.91</v>
      </c>
      <c r="G24" s="301">
        <v>1</v>
      </c>
      <c r="H24" s="5"/>
    </row>
    <row r="25" spans="2:8" ht="36.75" customHeight="1">
      <c r="B25" s="307"/>
      <c r="C25" s="291" t="s">
        <v>475</v>
      </c>
      <c r="D25" s="292"/>
      <c r="E25" s="293"/>
      <c r="F25" s="239">
        <v>4.7699999999999996</v>
      </c>
      <c r="G25" s="301"/>
      <c r="H25" s="5"/>
    </row>
    <row r="26" spans="2:8" ht="36.75" customHeight="1">
      <c r="B26" s="307"/>
      <c r="C26" s="291" t="s">
        <v>476</v>
      </c>
      <c r="D26" s="292"/>
      <c r="E26" s="293"/>
      <c r="F26" s="239">
        <v>6.24</v>
      </c>
      <c r="G26" s="301"/>
      <c r="H26" s="5"/>
    </row>
    <row r="27" spans="2:8" ht="36.75" customHeight="1">
      <c r="B27" s="307"/>
      <c r="C27" s="291" t="s">
        <v>477</v>
      </c>
      <c r="D27" s="292"/>
      <c r="E27" s="276"/>
      <c r="F27" s="239">
        <v>1.88</v>
      </c>
      <c r="G27" s="301"/>
      <c r="H27" s="5"/>
    </row>
    <row r="28" spans="2:8" ht="36.75" customHeight="1">
      <c r="B28" s="307"/>
      <c r="C28" s="291" t="s">
        <v>478</v>
      </c>
      <c r="D28" s="292"/>
      <c r="E28" s="275">
        <v>58.96</v>
      </c>
      <c r="F28" s="239">
        <v>6.24</v>
      </c>
      <c r="G28" s="300">
        <v>1</v>
      </c>
      <c r="H28" s="5"/>
    </row>
    <row r="29" spans="2:8" ht="36.75" customHeight="1">
      <c r="B29" s="307"/>
      <c r="C29" s="291" t="s">
        <v>479</v>
      </c>
      <c r="D29" s="292"/>
      <c r="E29" s="293"/>
      <c r="F29" s="239">
        <v>1.87</v>
      </c>
      <c r="G29" s="295"/>
      <c r="H29" s="5"/>
    </row>
    <row r="30" spans="2:8" ht="36.75" customHeight="1">
      <c r="B30" s="307"/>
      <c r="C30" s="291" t="s">
        <v>480</v>
      </c>
      <c r="D30" s="292"/>
      <c r="E30" s="275">
        <v>91.39</v>
      </c>
      <c r="F30" s="239">
        <v>6.24</v>
      </c>
      <c r="G30" s="300">
        <v>1</v>
      </c>
      <c r="H30" s="5"/>
    </row>
    <row r="31" spans="2:8" ht="36.75" customHeight="1">
      <c r="B31" s="307"/>
      <c r="C31" s="291" t="s">
        <v>481</v>
      </c>
      <c r="D31" s="292"/>
      <c r="E31" s="293"/>
      <c r="F31" s="239">
        <v>1.88</v>
      </c>
      <c r="G31" s="295"/>
      <c r="H31" s="5"/>
    </row>
    <row r="32" spans="2:8" ht="36.75" customHeight="1">
      <c r="B32" s="307"/>
      <c r="C32" s="291" t="s">
        <v>482</v>
      </c>
      <c r="D32" s="292"/>
      <c r="E32" s="275">
        <v>455.21</v>
      </c>
      <c r="F32" s="239">
        <v>6.24</v>
      </c>
      <c r="G32" s="300">
        <v>3</v>
      </c>
      <c r="H32" s="5"/>
    </row>
    <row r="33" spans="2:49" s="232" customFormat="1" ht="36.75" customHeight="1">
      <c r="B33" s="307"/>
      <c r="C33" s="291" t="s">
        <v>483</v>
      </c>
      <c r="D33" s="292"/>
      <c r="E33" s="293"/>
      <c r="F33" s="239">
        <v>1.88</v>
      </c>
      <c r="G33" s="295"/>
      <c r="H33" s="231"/>
      <c r="I33"/>
      <c r="J33"/>
      <c r="K33"/>
      <c r="L33" s="41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2:49" ht="36.75" customHeight="1">
      <c r="B34" s="307"/>
      <c r="C34" s="291" t="s">
        <v>484</v>
      </c>
      <c r="D34" s="292"/>
      <c r="E34" s="293"/>
      <c r="F34" s="239">
        <v>15.91</v>
      </c>
      <c r="G34" s="295"/>
      <c r="H34" s="5"/>
    </row>
    <row r="35" spans="2:49" ht="36.75" customHeight="1">
      <c r="B35" s="307"/>
      <c r="C35" s="291" t="s">
        <v>485</v>
      </c>
      <c r="D35" s="292"/>
      <c r="E35" s="276"/>
      <c r="F35" s="239">
        <v>7.95</v>
      </c>
      <c r="G35" s="296"/>
      <c r="H35" s="5"/>
    </row>
    <row r="36" spans="2:49" ht="36.75" customHeight="1">
      <c r="B36" s="307"/>
      <c r="C36" s="291" t="s">
        <v>486</v>
      </c>
      <c r="D36" s="292"/>
      <c r="E36" s="275">
        <v>555.91999999999996</v>
      </c>
      <c r="F36" s="239">
        <v>6.24</v>
      </c>
      <c r="G36" s="294">
        <v>3</v>
      </c>
      <c r="H36" s="5"/>
    </row>
    <row r="37" spans="2:49" s="232" customFormat="1" ht="36.75" customHeight="1">
      <c r="B37" s="307"/>
      <c r="C37" s="291" t="s">
        <v>487</v>
      </c>
      <c r="D37" s="292"/>
      <c r="E37" s="293"/>
      <c r="F37" s="239">
        <v>1.88</v>
      </c>
      <c r="G37" s="295"/>
      <c r="H37" s="231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2:49" s="232" customFormat="1" ht="36.75" customHeight="1">
      <c r="B38" s="307"/>
      <c r="C38" s="291" t="s">
        <v>488</v>
      </c>
      <c r="D38" s="292"/>
      <c r="E38" s="293"/>
      <c r="F38" s="239">
        <v>2.73</v>
      </c>
      <c r="G38" s="296"/>
      <c r="H38" s="231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2:49" s="232" customFormat="1" ht="36.75" customHeight="1">
      <c r="B39" s="307"/>
      <c r="C39" s="291" t="s">
        <v>489</v>
      </c>
      <c r="D39" s="292"/>
      <c r="E39" s="275">
        <v>1238.3900000000001</v>
      </c>
      <c r="F39" s="239">
        <v>6.24</v>
      </c>
      <c r="G39" s="297">
        <v>5</v>
      </c>
      <c r="H39" s="23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2:49" s="232" customFormat="1" ht="36.75" customHeight="1">
      <c r="B40" s="307"/>
      <c r="C40" s="291" t="s">
        <v>490</v>
      </c>
      <c r="D40" s="292"/>
      <c r="E40" s="293"/>
      <c r="F40" s="239">
        <v>1.88</v>
      </c>
      <c r="G40" s="298"/>
      <c r="H40" s="23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2:49" s="232" customFormat="1" ht="36.75" customHeight="1">
      <c r="B41" s="307"/>
      <c r="C41" s="291" t="s">
        <v>491</v>
      </c>
      <c r="D41" s="292"/>
      <c r="E41" s="293"/>
      <c r="F41" s="239">
        <v>4.7699999999999996</v>
      </c>
      <c r="G41" s="298"/>
      <c r="H41" s="23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9" s="232" customFormat="1" ht="36.75" customHeight="1">
      <c r="B42" s="308"/>
      <c r="C42" s="291" t="s">
        <v>492</v>
      </c>
      <c r="D42" s="292"/>
      <c r="E42" s="276"/>
      <c r="F42" s="239">
        <v>2.73</v>
      </c>
      <c r="G42" s="299"/>
      <c r="H42" s="23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9" ht="25.5" customHeight="1">
      <c r="B43" s="7" t="s">
        <v>51</v>
      </c>
      <c r="C43" s="8"/>
      <c r="D43" s="8"/>
      <c r="E43" s="240">
        <f>SUM(E8:E42)</f>
        <v>8360.4599999999991</v>
      </c>
      <c r="F43" s="240">
        <f>SUM(F8:F42)</f>
        <v>192.05999999999997</v>
      </c>
      <c r="G43" s="244">
        <f>SUM(G8:G42)</f>
        <v>23</v>
      </c>
      <c r="H43" s="9"/>
    </row>
    <row r="44" spans="2:49" ht="33.6" customHeight="1">
      <c r="B44" s="279" t="s">
        <v>52</v>
      </c>
      <c r="C44" s="279" t="s">
        <v>493</v>
      </c>
      <c r="D44" s="282" t="s">
        <v>494</v>
      </c>
      <c r="E44" s="289">
        <v>82.1</v>
      </c>
      <c r="F44" s="241">
        <v>5</v>
      </c>
      <c r="G44" s="290">
        <v>4</v>
      </c>
      <c r="H44" s="233" t="s">
        <v>495</v>
      </c>
    </row>
    <row r="45" spans="2:49" ht="31.2" customHeight="1">
      <c r="B45" s="280"/>
      <c r="C45" s="280"/>
      <c r="D45" s="282"/>
      <c r="E45" s="289"/>
      <c r="F45" s="241">
        <v>25</v>
      </c>
      <c r="G45" s="290"/>
      <c r="H45" s="233" t="s">
        <v>496</v>
      </c>
      <c r="I45" s="10"/>
      <c r="J45" s="10"/>
      <c r="K45" s="10"/>
    </row>
    <row r="46" spans="2:49" ht="25.5" customHeight="1">
      <c r="B46" s="280"/>
      <c r="C46" s="280"/>
      <c r="D46" s="282" t="s">
        <v>497</v>
      </c>
      <c r="E46" s="289">
        <v>0</v>
      </c>
      <c r="F46" s="241">
        <v>3.7</v>
      </c>
      <c r="G46" s="290">
        <v>0</v>
      </c>
      <c r="H46" s="247" t="s">
        <v>73</v>
      </c>
      <c r="I46" s="10"/>
      <c r="J46" s="10"/>
      <c r="K46" s="10"/>
    </row>
    <row r="47" spans="2:49" ht="25.5" customHeight="1">
      <c r="B47" s="280"/>
      <c r="C47" s="280"/>
      <c r="D47" s="282"/>
      <c r="E47" s="289"/>
      <c r="F47" s="241">
        <v>18.5</v>
      </c>
      <c r="G47" s="290"/>
      <c r="H47" s="247" t="s">
        <v>73</v>
      </c>
      <c r="I47" s="10"/>
      <c r="J47" s="10"/>
      <c r="K47" s="10"/>
    </row>
    <row r="48" spans="2:49" ht="25.5" customHeight="1">
      <c r="B48" s="280"/>
      <c r="C48" s="280"/>
      <c r="D48" s="282" t="s">
        <v>500</v>
      </c>
      <c r="E48" s="289">
        <v>0</v>
      </c>
      <c r="F48" s="241">
        <v>3.7</v>
      </c>
      <c r="G48" s="290">
        <v>0</v>
      </c>
      <c r="H48" s="247" t="s">
        <v>73</v>
      </c>
      <c r="I48" s="10"/>
      <c r="J48" s="10"/>
      <c r="K48" s="10"/>
    </row>
    <row r="49" spans="2:11" ht="25.5" customHeight="1">
      <c r="B49" s="280"/>
      <c r="C49" s="280"/>
      <c r="D49" s="282"/>
      <c r="E49" s="289"/>
      <c r="F49" s="241">
        <v>18.5</v>
      </c>
      <c r="G49" s="290"/>
      <c r="H49" s="247" t="s">
        <v>73</v>
      </c>
      <c r="I49" s="10"/>
      <c r="J49" s="10"/>
      <c r="K49" s="10"/>
    </row>
    <row r="50" spans="2:11" ht="25.5" customHeight="1">
      <c r="B50" s="280"/>
      <c r="C50" s="280"/>
      <c r="D50" s="282" t="s">
        <v>501</v>
      </c>
      <c r="E50" s="289">
        <v>0</v>
      </c>
      <c r="F50" s="241">
        <v>5</v>
      </c>
      <c r="G50" s="290">
        <v>0</v>
      </c>
      <c r="H50" s="247" t="s">
        <v>73</v>
      </c>
      <c r="I50" s="10"/>
      <c r="J50" s="10"/>
      <c r="K50" s="10"/>
    </row>
    <row r="51" spans="2:11" ht="25.5" customHeight="1">
      <c r="B51" s="280"/>
      <c r="C51" s="281"/>
      <c r="D51" s="282"/>
      <c r="E51" s="289"/>
      <c r="F51" s="241">
        <v>25</v>
      </c>
      <c r="G51" s="290"/>
      <c r="H51" s="247" t="s">
        <v>73</v>
      </c>
      <c r="I51" s="10"/>
      <c r="J51" s="10"/>
      <c r="K51" s="10"/>
    </row>
    <row r="52" spans="2:11" ht="25.5" customHeight="1">
      <c r="B52" s="280"/>
      <c r="C52" s="279" t="s">
        <v>502</v>
      </c>
      <c r="D52" s="282" t="s">
        <v>503</v>
      </c>
      <c r="E52" s="275">
        <v>66.2</v>
      </c>
      <c r="F52" s="241">
        <v>5</v>
      </c>
      <c r="G52" s="277">
        <v>3</v>
      </c>
      <c r="H52" s="233" t="s">
        <v>495</v>
      </c>
      <c r="I52" s="10"/>
      <c r="J52" s="10"/>
      <c r="K52" s="10"/>
    </row>
    <row r="53" spans="2:11" ht="25.5" customHeight="1">
      <c r="B53" s="280"/>
      <c r="C53" s="280"/>
      <c r="D53" s="282"/>
      <c r="E53" s="276"/>
      <c r="F53" s="241">
        <v>25</v>
      </c>
      <c r="G53" s="278"/>
      <c r="H53" s="233" t="s">
        <v>496</v>
      </c>
      <c r="I53" s="10"/>
      <c r="J53" s="10"/>
      <c r="K53" s="10"/>
    </row>
    <row r="54" spans="2:11" ht="25.5" customHeight="1">
      <c r="B54" s="280"/>
      <c r="C54" s="280"/>
      <c r="D54" s="282" t="s">
        <v>504</v>
      </c>
      <c r="E54" s="275">
        <v>0</v>
      </c>
      <c r="F54" s="241">
        <v>3.7</v>
      </c>
      <c r="G54" s="277">
        <v>0</v>
      </c>
      <c r="H54" s="247" t="s">
        <v>73</v>
      </c>
      <c r="I54" s="10"/>
      <c r="J54" s="10"/>
      <c r="K54" s="10"/>
    </row>
    <row r="55" spans="2:11" ht="25.5" customHeight="1">
      <c r="B55" s="280"/>
      <c r="C55" s="281"/>
      <c r="D55" s="282"/>
      <c r="E55" s="276"/>
      <c r="F55" s="241">
        <v>18.5</v>
      </c>
      <c r="G55" s="278"/>
      <c r="H55" s="247" t="s">
        <v>73</v>
      </c>
      <c r="I55" s="10"/>
      <c r="J55" s="10"/>
      <c r="K55" s="10"/>
    </row>
    <row r="56" spans="2:11" ht="25.5" customHeight="1">
      <c r="B56" s="280"/>
      <c r="C56" s="279" t="s">
        <v>505</v>
      </c>
      <c r="D56" s="282" t="s">
        <v>506</v>
      </c>
      <c r="E56" s="275">
        <v>0</v>
      </c>
      <c r="F56" s="241">
        <v>3.7</v>
      </c>
      <c r="G56" s="277">
        <v>0</v>
      </c>
      <c r="H56" s="247" t="s">
        <v>73</v>
      </c>
      <c r="I56" s="10"/>
      <c r="J56" s="10"/>
      <c r="K56" s="10"/>
    </row>
    <row r="57" spans="2:11" ht="25.5" customHeight="1">
      <c r="B57" s="280"/>
      <c r="C57" s="280"/>
      <c r="D57" s="282"/>
      <c r="E57" s="276"/>
      <c r="F57" s="241">
        <v>18.5</v>
      </c>
      <c r="G57" s="278"/>
      <c r="H57" s="247" t="s">
        <v>73</v>
      </c>
      <c r="I57" s="10"/>
      <c r="J57" s="10"/>
      <c r="K57" s="10"/>
    </row>
    <row r="58" spans="2:11" ht="25.5" customHeight="1">
      <c r="B58" s="280"/>
      <c r="C58" s="280"/>
      <c r="D58" s="282" t="s">
        <v>507</v>
      </c>
      <c r="E58" s="275">
        <v>0</v>
      </c>
      <c r="F58" s="241">
        <v>3.7</v>
      </c>
      <c r="G58" s="277">
        <v>0</v>
      </c>
      <c r="H58" s="247" t="s">
        <v>73</v>
      </c>
      <c r="I58" s="10"/>
      <c r="J58" s="10"/>
      <c r="K58" s="10"/>
    </row>
    <row r="59" spans="2:11" ht="25.5" customHeight="1">
      <c r="B59" s="280"/>
      <c r="C59" s="280"/>
      <c r="D59" s="282"/>
      <c r="E59" s="276"/>
      <c r="F59" s="241">
        <v>18.5</v>
      </c>
      <c r="G59" s="278"/>
      <c r="H59" s="247" t="s">
        <v>73</v>
      </c>
      <c r="I59" s="10"/>
      <c r="J59" s="10"/>
      <c r="K59" s="10"/>
    </row>
    <row r="60" spans="2:11" ht="25.5" customHeight="1">
      <c r="B60" s="280"/>
      <c r="C60" s="280"/>
      <c r="D60" s="282" t="s">
        <v>503</v>
      </c>
      <c r="E60" s="275">
        <v>0</v>
      </c>
      <c r="F60" s="241">
        <v>6.2</v>
      </c>
      <c r="G60" s="277">
        <v>0</v>
      </c>
      <c r="H60" s="247" t="s">
        <v>73</v>
      </c>
      <c r="I60" s="10"/>
      <c r="J60" s="10"/>
      <c r="K60" s="10"/>
    </row>
    <row r="61" spans="2:11" ht="25.5" customHeight="1">
      <c r="B61" s="280"/>
      <c r="C61" s="281"/>
      <c r="D61" s="282"/>
      <c r="E61" s="276"/>
      <c r="F61" s="241">
        <v>37</v>
      </c>
      <c r="G61" s="278"/>
      <c r="H61" s="247" t="s">
        <v>73</v>
      </c>
      <c r="I61" s="10"/>
      <c r="J61" s="10"/>
      <c r="K61" s="10"/>
    </row>
    <row r="62" spans="2:11" ht="25.5" customHeight="1">
      <c r="B62" s="280"/>
      <c r="C62" s="279" t="s">
        <v>510</v>
      </c>
      <c r="D62" s="282" t="s">
        <v>511</v>
      </c>
      <c r="E62" s="275">
        <v>113.25</v>
      </c>
      <c r="F62" s="241">
        <v>3.7</v>
      </c>
      <c r="G62" s="277">
        <v>5</v>
      </c>
      <c r="H62" s="233" t="s">
        <v>498</v>
      </c>
      <c r="I62" s="10"/>
      <c r="J62" s="10"/>
      <c r="K62" s="10"/>
    </row>
    <row r="63" spans="2:11" ht="25.5" customHeight="1">
      <c r="B63" s="280"/>
      <c r="C63" s="280"/>
      <c r="D63" s="282"/>
      <c r="E63" s="276"/>
      <c r="F63" s="241">
        <v>18.5</v>
      </c>
      <c r="G63" s="278"/>
      <c r="H63" s="233" t="s">
        <v>499</v>
      </c>
      <c r="I63" s="10"/>
      <c r="J63" s="10"/>
      <c r="K63" s="10"/>
    </row>
    <row r="64" spans="2:11" ht="25.5" customHeight="1">
      <c r="B64" s="280"/>
      <c r="C64" s="280"/>
      <c r="D64" s="282" t="s">
        <v>512</v>
      </c>
      <c r="E64" s="275">
        <v>1357.45</v>
      </c>
      <c r="F64" s="241">
        <v>6.2</v>
      </c>
      <c r="G64" s="277">
        <v>32</v>
      </c>
      <c r="H64" s="233" t="s">
        <v>508</v>
      </c>
      <c r="I64" s="10"/>
      <c r="J64" s="10"/>
      <c r="K64" s="10"/>
    </row>
    <row r="65" spans="1:11" ht="25.5" customHeight="1">
      <c r="B65" s="280"/>
      <c r="C65" s="280"/>
      <c r="D65" s="282"/>
      <c r="E65" s="276"/>
      <c r="F65" s="241">
        <v>37</v>
      </c>
      <c r="G65" s="278"/>
      <c r="H65" s="233" t="s">
        <v>509</v>
      </c>
      <c r="I65" s="10"/>
      <c r="J65" s="10"/>
      <c r="K65" s="10"/>
    </row>
    <row r="66" spans="1:11" ht="25.5" customHeight="1">
      <c r="B66" s="280"/>
      <c r="C66" s="280"/>
      <c r="D66" s="282" t="s">
        <v>513</v>
      </c>
      <c r="E66" s="275">
        <v>87.8</v>
      </c>
      <c r="F66" s="241">
        <v>3.7</v>
      </c>
      <c r="G66" s="277">
        <v>5</v>
      </c>
      <c r="H66" s="233" t="s">
        <v>498</v>
      </c>
      <c r="I66" s="10"/>
      <c r="J66" s="10"/>
      <c r="K66" s="10"/>
    </row>
    <row r="67" spans="1:11" ht="25.5" customHeight="1">
      <c r="B67" s="281"/>
      <c r="C67" s="281"/>
      <c r="D67" s="282"/>
      <c r="E67" s="276"/>
      <c r="F67" s="241">
        <v>18.5</v>
      </c>
      <c r="G67" s="278"/>
      <c r="H67" s="233" t="s">
        <v>499</v>
      </c>
      <c r="I67" s="10"/>
      <c r="J67" s="10"/>
      <c r="K67" s="10"/>
    </row>
    <row r="68" spans="1:11" ht="25.5" customHeight="1">
      <c r="B68" s="11" t="s">
        <v>51</v>
      </c>
      <c r="C68" s="11"/>
      <c r="D68" s="11"/>
      <c r="E68" s="240">
        <f>SUM(E44:E67)</f>
        <v>1706.8</v>
      </c>
      <c r="F68" s="240">
        <f>SUM(F44:F67)</f>
        <v>331.79999999999995</v>
      </c>
      <c r="G68" s="244">
        <f>SUM(G44:G67)</f>
        <v>49</v>
      </c>
      <c r="H68" s="9"/>
      <c r="I68" s="10"/>
      <c r="J68" s="10"/>
      <c r="K68" s="10"/>
    </row>
    <row r="69" spans="1:11" ht="31.5" customHeight="1">
      <c r="B69" s="283" t="s">
        <v>56</v>
      </c>
      <c r="C69" s="284"/>
      <c r="D69" s="284"/>
      <c r="E69" s="284"/>
      <c r="F69" s="284"/>
      <c r="G69" s="284"/>
      <c r="H69" s="285"/>
    </row>
    <row r="70" spans="1:11" ht="53.25" customHeight="1">
      <c r="A70" s="12"/>
      <c r="B70" s="4" t="s">
        <v>4</v>
      </c>
      <c r="C70" s="4" t="s">
        <v>57</v>
      </c>
      <c r="D70" s="4"/>
      <c r="E70" s="4" t="s">
        <v>6</v>
      </c>
      <c r="F70" s="4" t="s">
        <v>58</v>
      </c>
      <c r="G70" s="4" t="s">
        <v>8</v>
      </c>
      <c r="H70" s="5" t="s">
        <v>59</v>
      </c>
    </row>
    <row r="71" spans="1:11" ht="28.8" customHeight="1">
      <c r="B71" s="272" t="s">
        <v>60</v>
      </c>
      <c r="C71" s="14" t="s">
        <v>514</v>
      </c>
      <c r="D71" s="14"/>
      <c r="E71" s="241">
        <v>34045.480000000003</v>
      </c>
      <c r="F71" s="241">
        <v>68091.02</v>
      </c>
      <c r="G71" s="234">
        <v>1</v>
      </c>
      <c r="H71" s="235" t="s">
        <v>515</v>
      </c>
    </row>
    <row r="72" spans="1:11" s="232" customFormat="1" ht="24.75" customHeight="1">
      <c r="B72" s="273"/>
      <c r="C72" s="236" t="s">
        <v>516</v>
      </c>
      <c r="D72" s="236"/>
      <c r="E72" s="241">
        <v>4327.8599999999997</v>
      </c>
      <c r="F72" s="241">
        <v>5770.53</v>
      </c>
      <c r="G72" s="262">
        <v>1</v>
      </c>
      <c r="H72" s="235" t="s">
        <v>515</v>
      </c>
    </row>
    <row r="73" spans="1:11" ht="28.5" customHeight="1">
      <c r="B73" s="274"/>
      <c r="C73" s="14" t="s">
        <v>517</v>
      </c>
      <c r="D73" s="14"/>
      <c r="E73" s="241">
        <v>16781.72</v>
      </c>
      <c r="F73" s="241">
        <v>16653.41</v>
      </c>
      <c r="G73" s="234">
        <v>1</v>
      </c>
      <c r="H73" s="235" t="s">
        <v>515</v>
      </c>
    </row>
    <row r="74" spans="1:11" ht="29.25" customHeight="1">
      <c r="B74" s="17" t="s">
        <v>51</v>
      </c>
      <c r="C74" s="18"/>
      <c r="D74" s="18"/>
      <c r="E74" s="242">
        <f>SUM(E71:E73)</f>
        <v>55155.060000000005</v>
      </c>
      <c r="F74" s="242">
        <f>SUM(F71:F73)</f>
        <v>90514.96</v>
      </c>
      <c r="G74" s="244">
        <f>SUM(G71:G73)</f>
        <v>3</v>
      </c>
      <c r="H74" s="235"/>
    </row>
    <row r="75" spans="1:11" ht="24" customHeight="1">
      <c r="B75" s="13" t="s">
        <v>63</v>
      </c>
      <c r="C75" s="14" t="s">
        <v>518</v>
      </c>
      <c r="D75" s="14"/>
      <c r="E75" s="241">
        <v>0</v>
      </c>
      <c r="F75" s="241">
        <v>1701.7</v>
      </c>
      <c r="G75" s="234">
        <v>1</v>
      </c>
      <c r="H75" s="235"/>
    </row>
    <row r="76" spans="1:11" ht="27" customHeight="1">
      <c r="B76" s="17" t="s">
        <v>51</v>
      </c>
      <c r="C76" s="18"/>
      <c r="D76" s="18"/>
      <c r="E76" s="31">
        <f>SUM(E75)</f>
        <v>0</v>
      </c>
      <c r="F76" s="31">
        <f>SUM(F75)</f>
        <v>1701.7</v>
      </c>
      <c r="G76" s="237">
        <f>SUM(G75)</f>
        <v>1</v>
      </c>
      <c r="H76" s="16"/>
    </row>
    <row r="77" spans="1:11" ht="27" customHeight="1">
      <c r="B77" s="13" t="s">
        <v>65</v>
      </c>
      <c r="C77" s="18"/>
      <c r="D77" s="18"/>
      <c r="E77" s="245">
        <v>0</v>
      </c>
      <c r="F77" s="245">
        <v>0</v>
      </c>
      <c r="G77" s="246">
        <v>0</v>
      </c>
      <c r="H77" s="247" t="s">
        <v>73</v>
      </c>
    </row>
    <row r="78" spans="1:11" ht="16.5" customHeight="1">
      <c r="B78" s="17" t="s">
        <v>51</v>
      </c>
      <c r="C78" s="18"/>
      <c r="D78" s="18"/>
      <c r="E78" s="151">
        <f>SUM(E77)</f>
        <v>0</v>
      </c>
      <c r="F78" s="151">
        <f>SUM(F77)</f>
        <v>0</v>
      </c>
      <c r="G78" s="140">
        <f>SUM(G77)</f>
        <v>0</v>
      </c>
      <c r="H78" s="16"/>
    </row>
    <row r="79" spans="1:11" ht="30.75" customHeight="1">
      <c r="B79" s="13" t="s">
        <v>68</v>
      </c>
      <c r="C79" s="21"/>
      <c r="D79" s="21"/>
      <c r="E79" s="30">
        <v>0</v>
      </c>
      <c r="F79" s="30">
        <v>0</v>
      </c>
      <c r="G79" s="15">
        <v>0</v>
      </c>
      <c r="H79" s="247" t="s">
        <v>73</v>
      </c>
    </row>
    <row r="80" spans="1:11" ht="30" customHeight="1">
      <c r="B80" s="17" t="s">
        <v>51</v>
      </c>
      <c r="C80" s="18"/>
      <c r="D80" s="18"/>
      <c r="E80" s="253">
        <f>SUM(E79)</f>
        <v>0</v>
      </c>
      <c r="F80" s="253">
        <f>SUM(F79)</f>
        <v>0</v>
      </c>
      <c r="G80" s="259">
        <f>SUM(G79)</f>
        <v>0</v>
      </c>
      <c r="H80" s="16"/>
    </row>
    <row r="81" spans="2:8" ht="17.25" customHeight="1">
      <c r="B81" s="286"/>
      <c r="C81" s="287"/>
      <c r="D81" s="287"/>
      <c r="E81" s="287"/>
      <c r="F81" s="287"/>
      <c r="G81" s="287"/>
      <c r="H81" s="288"/>
    </row>
    <row r="82" spans="2:8" ht="42.75" customHeight="1">
      <c r="B82" s="11" t="s">
        <v>69</v>
      </c>
      <c r="C82" s="18"/>
      <c r="D82" s="18"/>
      <c r="E82" s="243">
        <f>SUM(E43+E68+E74+E76+E78+E80)</f>
        <v>65222.320000000007</v>
      </c>
      <c r="F82" s="243">
        <f>SUM(F43+F68+F74+F76+F78+F80)</f>
        <v>92740.52</v>
      </c>
      <c r="G82" s="238">
        <f>SUM(G43+G68+G74+G76+G78+G80)</f>
        <v>76</v>
      </c>
      <c r="H82" s="16"/>
    </row>
    <row r="83" spans="2:8">
      <c r="B83" s="22"/>
      <c r="C83" s="23"/>
      <c r="D83" s="23"/>
      <c r="E83" s="23"/>
      <c r="F83" s="23"/>
      <c r="G83" s="23"/>
    </row>
    <row r="84" spans="2:8">
      <c r="B84" s="22"/>
      <c r="C84" s="23"/>
      <c r="D84" s="23"/>
      <c r="E84" s="23"/>
      <c r="F84" s="23"/>
      <c r="G84" s="23"/>
    </row>
    <row r="85" spans="2:8">
      <c r="B85" s="24" t="s">
        <v>521</v>
      </c>
    </row>
    <row r="86" spans="2:8">
      <c r="B86" s="24"/>
    </row>
    <row r="87" spans="2:8">
      <c r="B87" s="25" t="s">
        <v>522</v>
      </c>
    </row>
    <row r="88" spans="2:8">
      <c r="B88" s="25" t="s">
        <v>519</v>
      </c>
    </row>
    <row r="89" spans="2:8">
      <c r="B89" s="25" t="s">
        <v>520</v>
      </c>
    </row>
    <row r="90" spans="2:8">
      <c r="B90" s="26"/>
    </row>
    <row r="91" spans="2:8">
      <c r="B91" t="s">
        <v>167</v>
      </c>
    </row>
    <row r="92" spans="2:8">
      <c r="B92" s="271"/>
      <c r="C92" s="271"/>
      <c r="D92" s="271"/>
      <c r="E92" s="271"/>
    </row>
    <row r="93" spans="2:8">
      <c r="B93" t="s">
        <v>76</v>
      </c>
    </row>
    <row r="94" spans="2:8" ht="15.75" customHeight="1"/>
  </sheetData>
  <mergeCells count="105">
    <mergeCell ref="B4:H4"/>
    <mergeCell ref="B5:H5"/>
    <mergeCell ref="B6:H6"/>
    <mergeCell ref="C7:D7"/>
    <mergeCell ref="B8:B42"/>
    <mergeCell ref="C8:D8"/>
    <mergeCell ref="E8:E11"/>
    <mergeCell ref="G8:G11"/>
    <mergeCell ref="C9:D9"/>
    <mergeCell ref="C10:D10"/>
    <mergeCell ref="C16:D16"/>
    <mergeCell ref="E16:E21"/>
    <mergeCell ref="G16:G21"/>
    <mergeCell ref="C17:D17"/>
    <mergeCell ref="C18:D18"/>
    <mergeCell ref="C19:D19"/>
    <mergeCell ref="C20:D20"/>
    <mergeCell ref="C21:D21"/>
    <mergeCell ref="C11:D11"/>
    <mergeCell ref="C12:D12"/>
    <mergeCell ref="E12:E15"/>
    <mergeCell ref="G12:G15"/>
    <mergeCell ref="C13:D13"/>
    <mergeCell ref="C14:D14"/>
    <mergeCell ref="C15:D15"/>
    <mergeCell ref="C22:D22"/>
    <mergeCell ref="E22:E23"/>
    <mergeCell ref="G22:G23"/>
    <mergeCell ref="C23:D23"/>
    <mergeCell ref="C24:D24"/>
    <mergeCell ref="E24:E27"/>
    <mergeCell ref="G24:G27"/>
    <mergeCell ref="C25:D25"/>
    <mergeCell ref="C26:D26"/>
    <mergeCell ref="C27:D27"/>
    <mergeCell ref="C32:D32"/>
    <mergeCell ref="E32:E35"/>
    <mergeCell ref="G32:G35"/>
    <mergeCell ref="C33:D33"/>
    <mergeCell ref="C34:D34"/>
    <mergeCell ref="C35:D35"/>
    <mergeCell ref="C28:D28"/>
    <mergeCell ref="E28:E29"/>
    <mergeCell ref="G28:G29"/>
    <mergeCell ref="C29:D29"/>
    <mergeCell ref="C30:D30"/>
    <mergeCell ref="E30:E31"/>
    <mergeCell ref="G30:G31"/>
    <mergeCell ref="C31:D31"/>
    <mergeCell ref="C36:D36"/>
    <mergeCell ref="E36:E38"/>
    <mergeCell ref="G36:G38"/>
    <mergeCell ref="C37:D37"/>
    <mergeCell ref="C38:D38"/>
    <mergeCell ref="C39:D39"/>
    <mergeCell ref="E39:E42"/>
    <mergeCell ref="G39:G42"/>
    <mergeCell ref="C40:D40"/>
    <mergeCell ref="C41:D41"/>
    <mergeCell ref="C42:D42"/>
    <mergeCell ref="D52:D53"/>
    <mergeCell ref="E52:E53"/>
    <mergeCell ref="G52:G53"/>
    <mergeCell ref="D54:D55"/>
    <mergeCell ref="E54:E55"/>
    <mergeCell ref="G54:G55"/>
    <mergeCell ref="C56:C61"/>
    <mergeCell ref="D56:D57"/>
    <mergeCell ref="E56:E57"/>
    <mergeCell ref="G56:G57"/>
    <mergeCell ref="D58:D59"/>
    <mergeCell ref="E58:E59"/>
    <mergeCell ref="G58:G59"/>
    <mergeCell ref="D60:D61"/>
    <mergeCell ref="E66:E67"/>
    <mergeCell ref="G66:G67"/>
    <mergeCell ref="B69:H69"/>
    <mergeCell ref="B81:H81"/>
    <mergeCell ref="B44:B67"/>
    <mergeCell ref="C44:C51"/>
    <mergeCell ref="D44:D45"/>
    <mergeCell ref="E44:E45"/>
    <mergeCell ref="G44:G45"/>
    <mergeCell ref="D46:D47"/>
    <mergeCell ref="E46:E47"/>
    <mergeCell ref="G46:G47"/>
    <mergeCell ref="D48:D49"/>
    <mergeCell ref="E48:E49"/>
    <mergeCell ref="G48:G49"/>
    <mergeCell ref="D50:D51"/>
    <mergeCell ref="E50:E51"/>
    <mergeCell ref="G50:G51"/>
    <mergeCell ref="C52:C55"/>
    <mergeCell ref="B92:E92"/>
    <mergeCell ref="B71:B73"/>
    <mergeCell ref="E60:E61"/>
    <mergeCell ref="G60:G61"/>
    <mergeCell ref="C62:C67"/>
    <mergeCell ref="D62:D63"/>
    <mergeCell ref="E62:E63"/>
    <mergeCell ref="G62:G63"/>
    <mergeCell ref="D64:D65"/>
    <mergeCell ref="E64:E65"/>
    <mergeCell ref="G64:G65"/>
    <mergeCell ref="D66:D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D433-40EC-40E2-9EC7-4AD14B94B960}">
  <dimension ref="A1:J87"/>
  <sheetViews>
    <sheetView topLeftCell="A68" workbookViewId="0">
      <selection activeCell="G66" sqref="G66"/>
    </sheetView>
  </sheetViews>
  <sheetFormatPr defaultColWidth="9.33203125" defaultRowHeight="14.4"/>
  <cols>
    <col min="1" max="1" width="3.44140625" customWidth="1"/>
    <col min="2" max="2" width="40.77734375" customWidth="1"/>
    <col min="3" max="3" width="42.33203125" customWidth="1"/>
    <col min="4" max="4" width="16.6640625" customWidth="1"/>
    <col min="5" max="5" width="22.109375" customWidth="1"/>
    <col min="6" max="6" width="15.33203125" customWidth="1"/>
    <col min="7" max="7" width="34.44140625" customWidth="1"/>
    <col min="9" max="9" width="24.5546875" customWidth="1"/>
  </cols>
  <sheetData>
    <row r="1" spans="2:7" ht="30" customHeight="1">
      <c r="B1" s="62" t="s">
        <v>0</v>
      </c>
    </row>
    <row r="2" spans="2:7" ht="25.5" customHeight="1">
      <c r="B2" s="62" t="s">
        <v>1</v>
      </c>
      <c r="D2" s="63"/>
      <c r="E2" s="63"/>
    </row>
    <row r="3" spans="2:7" ht="12.75" customHeight="1">
      <c r="B3" s="62"/>
      <c r="D3" s="63"/>
      <c r="E3" s="63"/>
    </row>
    <row r="4" spans="2:7" ht="32.25" customHeight="1">
      <c r="B4" s="312" t="s">
        <v>523</v>
      </c>
      <c r="C4" s="312"/>
      <c r="D4" s="312"/>
      <c r="E4" s="312"/>
      <c r="F4" s="312"/>
      <c r="G4" s="312"/>
    </row>
    <row r="5" spans="2:7" ht="31.5" customHeight="1">
      <c r="B5" s="312" t="s">
        <v>524</v>
      </c>
      <c r="C5" s="312"/>
      <c r="D5" s="312"/>
      <c r="E5" s="312"/>
      <c r="F5" s="312"/>
      <c r="G5" s="312"/>
    </row>
    <row r="6" spans="2:7" ht="26.25" customHeight="1">
      <c r="B6" s="313" t="s">
        <v>3</v>
      </c>
      <c r="C6" s="313"/>
      <c r="D6" s="313"/>
      <c r="E6" s="313"/>
      <c r="F6" s="313"/>
      <c r="G6" s="313"/>
    </row>
    <row r="7" spans="2:7" ht="55.5" customHeight="1">
      <c r="B7" s="64" t="s">
        <v>4</v>
      </c>
      <c r="D7" s="77" t="s">
        <v>6</v>
      </c>
      <c r="E7" s="77" t="s">
        <v>7</v>
      </c>
      <c r="F7" s="77" t="s">
        <v>8</v>
      </c>
      <c r="G7" s="78" t="s">
        <v>9</v>
      </c>
    </row>
    <row r="8" spans="2:7">
      <c r="B8" s="314" t="s">
        <v>10</v>
      </c>
      <c r="C8" s="8" t="s">
        <v>525</v>
      </c>
      <c r="D8" s="30">
        <v>2392.89</v>
      </c>
      <c r="E8" s="146">
        <v>3.75</v>
      </c>
      <c r="F8" s="59">
        <v>5</v>
      </c>
      <c r="G8" s="78"/>
    </row>
    <row r="9" spans="2:7">
      <c r="B9" s="314"/>
      <c r="C9" s="8" t="s">
        <v>525</v>
      </c>
      <c r="D9" s="30">
        <v>658.75</v>
      </c>
      <c r="E9" s="146">
        <v>12.5</v>
      </c>
      <c r="F9" s="59">
        <v>1</v>
      </c>
      <c r="G9" s="78"/>
    </row>
    <row r="10" spans="2:7">
      <c r="B10" s="314"/>
      <c r="C10" s="8" t="s">
        <v>526</v>
      </c>
      <c r="D10" s="30">
        <v>434.26</v>
      </c>
      <c r="E10" s="146">
        <v>3.75</v>
      </c>
      <c r="F10" s="59">
        <v>3</v>
      </c>
      <c r="G10" s="78"/>
    </row>
    <row r="11" spans="2:7">
      <c r="B11" s="314"/>
      <c r="C11" s="8" t="s">
        <v>527</v>
      </c>
      <c r="D11" s="30">
        <v>378.56</v>
      </c>
      <c r="E11" s="146">
        <v>3.75</v>
      </c>
      <c r="F11" s="59">
        <v>3</v>
      </c>
      <c r="G11" s="78"/>
    </row>
    <row r="12" spans="2:7" ht="28.8">
      <c r="B12" s="314"/>
      <c r="C12" s="8" t="s">
        <v>528</v>
      </c>
      <c r="D12" s="30">
        <v>3236.64</v>
      </c>
      <c r="E12" s="146">
        <v>3.75</v>
      </c>
      <c r="F12" s="59">
        <v>9</v>
      </c>
      <c r="G12" s="78"/>
    </row>
    <row r="13" spans="2:7" ht="28.8">
      <c r="B13" s="314"/>
      <c r="C13" s="8" t="s">
        <v>529</v>
      </c>
      <c r="D13" s="30">
        <v>1735.5</v>
      </c>
      <c r="E13" s="146">
        <v>3.75</v>
      </c>
      <c r="F13" s="59">
        <v>2</v>
      </c>
      <c r="G13" s="78"/>
    </row>
    <row r="14" spans="2:7" ht="28.8">
      <c r="B14" s="314"/>
      <c r="C14" s="8" t="s">
        <v>530</v>
      </c>
      <c r="D14" s="30">
        <v>415.8</v>
      </c>
      <c r="E14" s="146">
        <v>2.7</v>
      </c>
      <c r="F14" s="59">
        <v>2</v>
      </c>
      <c r="G14" s="78"/>
    </row>
    <row r="15" spans="2:7" ht="28.8">
      <c r="B15" s="314"/>
      <c r="C15" s="8" t="s">
        <v>531</v>
      </c>
      <c r="D15" s="30">
        <v>1076.76</v>
      </c>
      <c r="E15" s="146">
        <v>2.7</v>
      </c>
      <c r="F15" s="59">
        <v>2</v>
      </c>
      <c r="G15" s="78"/>
    </row>
    <row r="16" spans="2:7" ht="28.8">
      <c r="B16" s="314"/>
      <c r="C16" s="8" t="s">
        <v>532</v>
      </c>
      <c r="D16" s="30">
        <v>990.36</v>
      </c>
      <c r="E16" s="146">
        <v>2.7</v>
      </c>
      <c r="F16" s="59">
        <v>2</v>
      </c>
      <c r="G16" s="78"/>
    </row>
    <row r="17" spans="2:7">
      <c r="B17" s="314"/>
      <c r="C17" s="8" t="s">
        <v>533</v>
      </c>
      <c r="D17" s="30">
        <v>0</v>
      </c>
      <c r="E17" s="146">
        <v>2.7</v>
      </c>
      <c r="F17" s="59">
        <v>0</v>
      </c>
      <c r="G17" s="257" t="s">
        <v>575</v>
      </c>
    </row>
    <row r="18" spans="2:7">
      <c r="B18" s="314"/>
      <c r="C18" s="8" t="s">
        <v>534</v>
      </c>
      <c r="D18" s="30">
        <v>1467.18</v>
      </c>
      <c r="E18" s="146">
        <v>2.7</v>
      </c>
      <c r="F18" s="59">
        <v>13</v>
      </c>
      <c r="G18" s="78"/>
    </row>
    <row r="19" spans="2:7">
      <c r="B19" s="314"/>
      <c r="C19" s="8" t="s">
        <v>535</v>
      </c>
      <c r="D19" s="30">
        <v>8949.42</v>
      </c>
      <c r="E19" s="146">
        <v>2.7</v>
      </c>
      <c r="F19" s="59">
        <v>3</v>
      </c>
      <c r="G19" s="78"/>
    </row>
    <row r="20" spans="2:7">
      <c r="B20" s="314"/>
      <c r="C20" s="8" t="s">
        <v>536</v>
      </c>
      <c r="D20" s="30">
        <v>2152.13</v>
      </c>
      <c r="E20" s="146">
        <v>3.75</v>
      </c>
      <c r="F20" s="59">
        <v>2</v>
      </c>
      <c r="G20" s="78"/>
    </row>
    <row r="21" spans="2:7">
      <c r="B21" s="314"/>
      <c r="C21" s="8" t="s">
        <v>537</v>
      </c>
      <c r="D21" s="30">
        <v>0</v>
      </c>
      <c r="E21" s="146">
        <v>2.7</v>
      </c>
      <c r="F21" s="59">
        <v>0</v>
      </c>
      <c r="G21" s="257" t="s">
        <v>575</v>
      </c>
    </row>
    <row r="22" spans="2:7">
      <c r="B22" s="314"/>
      <c r="C22" s="8" t="s">
        <v>538</v>
      </c>
      <c r="D22" s="30">
        <v>50.4</v>
      </c>
      <c r="E22" s="146">
        <v>4.2</v>
      </c>
      <c r="F22" s="59">
        <v>1</v>
      </c>
      <c r="G22" s="78"/>
    </row>
    <row r="23" spans="2:7">
      <c r="B23" s="314"/>
      <c r="C23" s="8" t="s">
        <v>539</v>
      </c>
      <c r="D23" s="30">
        <v>4350.3599999999997</v>
      </c>
      <c r="E23" s="146">
        <v>4.2</v>
      </c>
      <c r="F23" s="59">
        <v>3</v>
      </c>
      <c r="G23" s="78"/>
    </row>
    <row r="24" spans="2:7">
      <c r="B24" s="314"/>
      <c r="C24" s="8" t="s">
        <v>540</v>
      </c>
      <c r="D24" s="30">
        <v>0</v>
      </c>
      <c r="E24" s="146">
        <v>2.7</v>
      </c>
      <c r="F24" s="59">
        <v>0</v>
      </c>
      <c r="G24" s="257" t="s">
        <v>575</v>
      </c>
    </row>
    <row r="25" spans="2:7">
      <c r="B25" s="314"/>
      <c r="C25" s="8" t="s">
        <v>541</v>
      </c>
      <c r="D25" s="30">
        <v>1811.63</v>
      </c>
      <c r="E25" s="146">
        <v>3.75</v>
      </c>
      <c r="F25" s="59">
        <v>4</v>
      </c>
      <c r="G25" s="78"/>
    </row>
    <row r="26" spans="2:7">
      <c r="B26" s="314"/>
      <c r="C26" s="8" t="s">
        <v>542</v>
      </c>
      <c r="D26" s="30">
        <v>0</v>
      </c>
      <c r="E26" s="146">
        <v>3.75</v>
      </c>
      <c r="F26" s="59">
        <v>0</v>
      </c>
      <c r="G26" s="257" t="s">
        <v>575</v>
      </c>
    </row>
    <row r="27" spans="2:7">
      <c r="B27" s="314"/>
      <c r="C27" s="8" t="s">
        <v>543</v>
      </c>
      <c r="D27" s="30">
        <v>12.6</v>
      </c>
      <c r="E27" s="146">
        <v>4.2</v>
      </c>
      <c r="F27" s="59">
        <v>1</v>
      </c>
      <c r="G27" s="78"/>
    </row>
    <row r="28" spans="2:7">
      <c r="B28" s="314"/>
      <c r="C28" s="8" t="s">
        <v>544</v>
      </c>
      <c r="D28" s="30">
        <v>1649.76</v>
      </c>
      <c r="E28" s="146">
        <v>4.2</v>
      </c>
      <c r="F28" s="59">
        <v>2</v>
      </c>
      <c r="G28" s="78"/>
    </row>
    <row r="29" spans="2:7">
      <c r="B29" s="314"/>
      <c r="C29" s="8" t="s">
        <v>545</v>
      </c>
      <c r="D29" s="30">
        <v>0</v>
      </c>
      <c r="E29" s="146">
        <v>3.75</v>
      </c>
      <c r="F29" s="59">
        <v>0</v>
      </c>
      <c r="G29" s="257" t="s">
        <v>575</v>
      </c>
    </row>
    <row r="30" spans="2:7">
      <c r="B30" s="314"/>
      <c r="C30" s="8" t="s">
        <v>546</v>
      </c>
      <c r="D30" s="30">
        <v>0</v>
      </c>
      <c r="E30" s="146">
        <v>2.7</v>
      </c>
      <c r="F30" s="59">
        <v>0</v>
      </c>
      <c r="G30" s="257" t="s">
        <v>575</v>
      </c>
    </row>
    <row r="31" spans="2:7" ht="28.8">
      <c r="B31" s="314"/>
      <c r="C31" s="8" t="s">
        <v>547</v>
      </c>
      <c r="D31" s="30">
        <v>0</v>
      </c>
      <c r="E31" s="146">
        <v>2.7</v>
      </c>
      <c r="F31" s="59">
        <v>1</v>
      </c>
      <c r="G31" s="78"/>
    </row>
    <row r="32" spans="2:7">
      <c r="B32" s="314"/>
      <c r="C32" s="8" t="s">
        <v>548</v>
      </c>
      <c r="D32" s="30">
        <v>1469.25</v>
      </c>
      <c r="E32" s="146">
        <v>3.75</v>
      </c>
      <c r="F32" s="59">
        <v>5</v>
      </c>
      <c r="G32" s="78"/>
    </row>
    <row r="33" spans="2:7">
      <c r="B33" s="314"/>
      <c r="C33" s="8" t="s">
        <v>549</v>
      </c>
      <c r="D33" s="30">
        <v>6452.97</v>
      </c>
      <c r="E33" s="146">
        <v>4.2</v>
      </c>
      <c r="F33" s="59">
        <v>15</v>
      </c>
      <c r="G33" s="78"/>
    </row>
    <row r="34" spans="2:7">
      <c r="B34" s="314"/>
      <c r="C34" s="8" t="s">
        <v>550</v>
      </c>
      <c r="D34" s="30">
        <v>906.38</v>
      </c>
      <c r="E34" s="146">
        <v>3.75</v>
      </c>
      <c r="F34" s="59">
        <v>3</v>
      </c>
      <c r="G34" s="78"/>
    </row>
    <row r="35" spans="2:7">
      <c r="B35" s="314"/>
      <c r="C35" s="8" t="s">
        <v>551</v>
      </c>
      <c r="D35" s="30">
        <v>0</v>
      </c>
      <c r="E35" s="146">
        <v>2.7</v>
      </c>
      <c r="F35" s="59">
        <v>0</v>
      </c>
      <c r="G35" s="257" t="s">
        <v>575</v>
      </c>
    </row>
    <row r="36" spans="2:7">
      <c r="B36" s="314"/>
      <c r="C36" s="8" t="s">
        <v>552</v>
      </c>
      <c r="D36" s="30">
        <v>3099.18</v>
      </c>
      <c r="E36" s="146">
        <v>3.75</v>
      </c>
      <c r="F36" s="59">
        <v>7</v>
      </c>
      <c r="G36" s="78"/>
    </row>
    <row r="37" spans="2:7">
      <c r="B37" s="314"/>
      <c r="C37" s="8" t="s">
        <v>553</v>
      </c>
      <c r="D37" s="30">
        <v>0</v>
      </c>
      <c r="E37" s="146">
        <v>2.7</v>
      </c>
      <c r="F37" s="59">
        <v>0</v>
      </c>
      <c r="G37" s="257" t="s">
        <v>575</v>
      </c>
    </row>
    <row r="38" spans="2:7">
      <c r="B38" s="314"/>
      <c r="C38" s="8" t="s">
        <v>554</v>
      </c>
      <c r="D38" s="30">
        <v>0</v>
      </c>
      <c r="E38" s="146">
        <v>2.7</v>
      </c>
      <c r="F38" s="59">
        <v>0</v>
      </c>
      <c r="G38" s="257" t="s">
        <v>575</v>
      </c>
    </row>
    <row r="39" spans="2:7" ht="28.8">
      <c r="B39" s="314"/>
      <c r="C39" s="8" t="s">
        <v>555</v>
      </c>
      <c r="D39" s="30">
        <v>2852.53</v>
      </c>
      <c r="E39" s="146">
        <v>3.75</v>
      </c>
      <c r="F39" s="59">
        <v>6</v>
      </c>
      <c r="G39" s="78"/>
    </row>
    <row r="40" spans="2:7" ht="28.8">
      <c r="B40" s="314"/>
      <c r="C40" s="8" t="s">
        <v>556</v>
      </c>
      <c r="D40" s="30">
        <v>6468.84</v>
      </c>
      <c r="E40" s="146">
        <v>4.2</v>
      </c>
      <c r="F40" s="59">
        <v>8</v>
      </c>
      <c r="G40" s="78"/>
    </row>
    <row r="41" spans="2:7" ht="28.8">
      <c r="B41" s="314"/>
      <c r="C41" s="8" t="s">
        <v>557</v>
      </c>
      <c r="D41" s="30">
        <v>3756.48</v>
      </c>
      <c r="E41" s="146">
        <v>4.2</v>
      </c>
      <c r="F41" s="59">
        <v>9</v>
      </c>
      <c r="G41" s="78"/>
    </row>
    <row r="42" spans="2:7" ht="28.8">
      <c r="B42" s="314"/>
      <c r="C42" s="8" t="s">
        <v>558</v>
      </c>
      <c r="D42" s="30">
        <v>3914.82</v>
      </c>
      <c r="E42" s="146">
        <v>4.2</v>
      </c>
      <c r="F42" s="59">
        <v>9</v>
      </c>
      <c r="G42" s="78"/>
    </row>
    <row r="43" spans="2:7" ht="28.8">
      <c r="B43" s="314"/>
      <c r="C43" s="8" t="s">
        <v>559</v>
      </c>
      <c r="D43" s="30">
        <v>497.25</v>
      </c>
      <c r="E43" s="146">
        <v>3.75</v>
      </c>
      <c r="F43" s="59">
        <v>4</v>
      </c>
      <c r="G43" s="78"/>
    </row>
    <row r="44" spans="2:7" ht="28.8">
      <c r="B44" s="314"/>
      <c r="C44" s="8" t="s">
        <v>560</v>
      </c>
      <c r="D44" s="30">
        <v>1871.43</v>
      </c>
      <c r="E44" s="146">
        <v>3.75</v>
      </c>
      <c r="F44" s="59">
        <v>6</v>
      </c>
      <c r="G44" s="78"/>
    </row>
    <row r="45" spans="2:7">
      <c r="B45" s="314"/>
      <c r="C45" s="8" t="s">
        <v>561</v>
      </c>
      <c r="D45" s="30">
        <v>271.89</v>
      </c>
      <c r="E45" s="146">
        <v>2.7</v>
      </c>
      <c r="F45" s="59">
        <v>5</v>
      </c>
      <c r="G45" s="78"/>
    </row>
    <row r="46" spans="2:7">
      <c r="B46" s="314"/>
      <c r="C46" s="8" t="s">
        <v>562</v>
      </c>
      <c r="D46" s="30">
        <v>130.41</v>
      </c>
      <c r="E46" s="146">
        <v>2.7</v>
      </c>
      <c r="F46" s="59">
        <v>2</v>
      </c>
      <c r="G46" s="78"/>
    </row>
    <row r="47" spans="2:7">
      <c r="B47" s="314"/>
      <c r="C47" s="8" t="s">
        <v>563</v>
      </c>
      <c r="D47" s="30">
        <v>98.82</v>
      </c>
      <c r="E47" s="146">
        <v>2.7</v>
      </c>
      <c r="F47" s="59">
        <v>4</v>
      </c>
      <c r="G47" s="78"/>
    </row>
    <row r="48" spans="2:7">
      <c r="B48" s="314"/>
      <c r="C48" s="8" t="s">
        <v>563</v>
      </c>
      <c r="D48" s="30">
        <v>0</v>
      </c>
      <c r="E48" s="146">
        <v>9</v>
      </c>
      <c r="F48" s="59">
        <v>0</v>
      </c>
      <c r="G48" s="257" t="s">
        <v>575</v>
      </c>
    </row>
    <row r="49" spans="1:10">
      <c r="B49" s="314"/>
      <c r="C49" s="8" t="s">
        <v>564</v>
      </c>
      <c r="D49" s="30">
        <v>388.13</v>
      </c>
      <c r="E49" s="146">
        <v>3.75</v>
      </c>
      <c r="F49" s="59">
        <v>4</v>
      </c>
      <c r="G49" s="210"/>
    </row>
    <row r="50" spans="1:10">
      <c r="B50" s="314"/>
      <c r="C50" s="8" t="s">
        <v>565</v>
      </c>
      <c r="D50" s="30">
        <v>279</v>
      </c>
      <c r="E50" s="146">
        <v>3.75</v>
      </c>
      <c r="F50" s="59">
        <v>3</v>
      </c>
      <c r="G50" s="76"/>
    </row>
    <row r="51" spans="1:10">
      <c r="B51" s="67" t="s">
        <v>51</v>
      </c>
      <c r="C51" s="8"/>
      <c r="D51" s="219">
        <f>SUM(D8:D50)</f>
        <v>64220.38</v>
      </c>
      <c r="E51" s="219">
        <f>SUM(E8:E50)</f>
        <v>162.05000000000001</v>
      </c>
      <c r="F51" s="218">
        <f>SUM(F8:F50)</f>
        <v>149</v>
      </c>
      <c r="G51" s="76"/>
    </row>
    <row r="52" spans="1:10" ht="15" customHeight="1">
      <c r="B52" s="315" t="s">
        <v>52</v>
      </c>
      <c r="C52" s="8" t="s">
        <v>566</v>
      </c>
      <c r="D52" s="252">
        <v>0</v>
      </c>
      <c r="E52" s="252">
        <v>0</v>
      </c>
      <c r="F52" s="256">
        <v>1</v>
      </c>
      <c r="G52" s="258" t="s">
        <v>168</v>
      </c>
    </row>
    <row r="53" spans="1:10">
      <c r="B53" s="315"/>
      <c r="C53" s="8" t="s">
        <v>566</v>
      </c>
      <c r="D53" s="55">
        <v>75</v>
      </c>
      <c r="E53" s="146">
        <v>9.25</v>
      </c>
      <c r="F53" s="59">
        <v>1</v>
      </c>
      <c r="G53" s="76"/>
    </row>
    <row r="54" spans="1:10">
      <c r="B54" s="315"/>
      <c r="C54" s="8" t="s">
        <v>567</v>
      </c>
      <c r="D54" s="30">
        <v>0</v>
      </c>
      <c r="E54" s="146">
        <v>0</v>
      </c>
      <c r="F54" s="59">
        <v>1</v>
      </c>
      <c r="G54" s="258" t="s">
        <v>168</v>
      </c>
      <c r="H54" s="72"/>
      <c r="I54" s="72"/>
      <c r="J54" s="72"/>
    </row>
    <row r="55" spans="1:10">
      <c r="B55" s="315"/>
      <c r="C55" s="8" t="s">
        <v>567</v>
      </c>
      <c r="D55" s="30">
        <v>0</v>
      </c>
      <c r="E55" s="146">
        <v>9.25</v>
      </c>
      <c r="F55" s="59">
        <v>0</v>
      </c>
      <c r="G55" s="257" t="s">
        <v>575</v>
      </c>
      <c r="H55" s="72"/>
      <c r="I55" s="72"/>
      <c r="J55" s="72"/>
    </row>
    <row r="56" spans="1:10">
      <c r="B56" s="315"/>
      <c r="C56" s="8" t="s">
        <v>568</v>
      </c>
      <c r="D56" s="30">
        <v>0</v>
      </c>
      <c r="E56" s="146">
        <v>9.25</v>
      </c>
      <c r="F56" s="59">
        <v>0</v>
      </c>
      <c r="G56" s="257" t="s">
        <v>575</v>
      </c>
      <c r="H56" s="72"/>
      <c r="I56" s="72"/>
      <c r="J56" s="72"/>
    </row>
    <row r="57" spans="1:10">
      <c r="B57" s="73" t="s">
        <v>51</v>
      </c>
      <c r="C57" s="73"/>
      <c r="D57" s="219">
        <f>SUM(D52:D56)</f>
        <v>75</v>
      </c>
      <c r="E57" s="219">
        <f>SUM(E52:E56)</f>
        <v>27.75</v>
      </c>
      <c r="F57" s="218">
        <f>SUM(F52:F56)</f>
        <v>3</v>
      </c>
      <c r="G57" s="76"/>
      <c r="H57" s="72"/>
      <c r="I57" s="72"/>
      <c r="J57" s="72"/>
    </row>
    <row r="58" spans="1:10" ht="31.5" customHeight="1">
      <c r="B58" s="316" t="s">
        <v>56</v>
      </c>
      <c r="C58" s="316"/>
      <c r="D58" s="316"/>
      <c r="E58" s="316"/>
      <c r="F58" s="316"/>
      <c r="G58" s="316"/>
    </row>
    <row r="59" spans="1:10" ht="53.25" customHeight="1">
      <c r="A59" s="12"/>
      <c r="B59" s="77" t="s">
        <v>4</v>
      </c>
      <c r="C59" s="77" t="s">
        <v>57</v>
      </c>
      <c r="D59" s="77" t="s">
        <v>6</v>
      </c>
      <c r="E59" s="77" t="s">
        <v>58</v>
      </c>
      <c r="F59" s="77" t="s">
        <v>8</v>
      </c>
      <c r="G59" s="78" t="s">
        <v>59</v>
      </c>
    </row>
    <row r="60" spans="1:10" ht="28.8">
      <c r="B60" s="13" t="s">
        <v>60</v>
      </c>
      <c r="C60" s="79"/>
      <c r="D60" s="30">
        <v>0</v>
      </c>
      <c r="E60" s="30">
        <v>0</v>
      </c>
      <c r="F60" s="80">
        <v>0</v>
      </c>
      <c r="G60" s="257" t="s">
        <v>575</v>
      </c>
    </row>
    <row r="61" spans="1:10" ht="15.6">
      <c r="B61" s="87" t="s">
        <v>51</v>
      </c>
      <c r="C61" s="88"/>
      <c r="D61" s="253">
        <f>SUM(D60)</f>
        <v>0</v>
      </c>
      <c r="E61" s="253">
        <f>SUM(E60)</f>
        <v>0</v>
      </c>
      <c r="F61" s="263">
        <f>SUM(F60)</f>
        <v>0</v>
      </c>
      <c r="G61" s="16"/>
    </row>
    <row r="62" spans="1:10">
      <c r="B62" s="13" t="s">
        <v>61</v>
      </c>
      <c r="C62" s="79"/>
      <c r="D62" s="30">
        <v>1690.25</v>
      </c>
      <c r="E62" s="30">
        <v>2135.65</v>
      </c>
      <c r="F62" s="80">
        <v>51</v>
      </c>
      <c r="G62" s="16"/>
    </row>
    <row r="63" spans="1:10" ht="15.6">
      <c r="B63" s="87" t="s">
        <v>51</v>
      </c>
      <c r="C63" s="88"/>
      <c r="D63" s="253">
        <f>SUM(D62)</f>
        <v>1690.25</v>
      </c>
      <c r="E63" s="253">
        <f>SUM(E62)</f>
        <v>2135.65</v>
      </c>
      <c r="F63" s="263">
        <f>SUM(F62)</f>
        <v>51</v>
      </c>
      <c r="G63" s="16"/>
    </row>
    <row r="64" spans="1:10">
      <c r="B64" s="13" t="s">
        <v>63</v>
      </c>
      <c r="C64" s="79"/>
      <c r="D64" s="30">
        <v>0</v>
      </c>
      <c r="E64" s="30">
        <v>0</v>
      </c>
      <c r="F64" s="155">
        <v>0</v>
      </c>
      <c r="G64" s="257" t="s">
        <v>575</v>
      </c>
    </row>
    <row r="65" spans="2:9" ht="15.6">
      <c r="B65" s="87" t="s">
        <v>51</v>
      </c>
      <c r="C65" s="88"/>
      <c r="D65" s="253">
        <f>SUM(D64)</f>
        <v>0</v>
      </c>
      <c r="E65" s="253">
        <f>SUM(E64)</f>
        <v>0</v>
      </c>
      <c r="F65" s="263">
        <f>SUM(F64)</f>
        <v>0</v>
      </c>
      <c r="G65" s="16"/>
    </row>
    <row r="66" spans="2:9" ht="46.8">
      <c r="B66" s="272" t="s">
        <v>65</v>
      </c>
      <c r="C66" s="248" t="s">
        <v>569</v>
      </c>
      <c r="D66" s="254">
        <v>6573.06</v>
      </c>
      <c r="E66" s="255">
        <v>13146.15</v>
      </c>
      <c r="F66" s="143">
        <v>1</v>
      </c>
      <c r="G66" s="249"/>
      <c r="I66" s="250"/>
    </row>
    <row r="67" spans="2:9" ht="43.2">
      <c r="B67" s="273"/>
      <c r="C67" s="248" t="s">
        <v>570</v>
      </c>
      <c r="D67" s="254">
        <v>0</v>
      </c>
      <c r="E67" s="255">
        <v>13120</v>
      </c>
      <c r="F67" s="143">
        <v>1</v>
      </c>
      <c r="G67" s="44" t="s">
        <v>571</v>
      </c>
      <c r="I67" s="250"/>
    </row>
    <row r="68" spans="2:9" ht="57.6">
      <c r="B68" s="273"/>
      <c r="C68" s="248" t="s">
        <v>572</v>
      </c>
      <c r="D68" s="261">
        <v>2127.33</v>
      </c>
      <c r="E68" s="255">
        <v>5100</v>
      </c>
      <c r="F68" s="143">
        <v>1</v>
      </c>
      <c r="G68" s="44" t="s">
        <v>579</v>
      </c>
      <c r="I68" s="250"/>
    </row>
    <row r="69" spans="2:9" ht="31.2">
      <c r="B69" s="273"/>
      <c r="C69" s="248" t="s">
        <v>573</v>
      </c>
      <c r="D69" s="254">
        <v>0</v>
      </c>
      <c r="E69" s="255">
        <v>9150</v>
      </c>
      <c r="F69" s="143">
        <v>1</v>
      </c>
      <c r="G69" s="16"/>
      <c r="I69" s="250"/>
    </row>
    <row r="70" spans="2:9" ht="46.8">
      <c r="B70" s="274"/>
      <c r="C70" s="248" t="s">
        <v>574</v>
      </c>
      <c r="D70" s="254">
        <v>0</v>
      </c>
      <c r="E70" s="255">
        <f>1738.5</f>
        <v>1738.5</v>
      </c>
      <c r="F70" s="143">
        <v>1</v>
      </c>
      <c r="G70" s="44" t="s">
        <v>571</v>
      </c>
      <c r="I70" s="250"/>
    </row>
    <row r="71" spans="2:9" ht="15.6">
      <c r="B71" s="87" t="s">
        <v>51</v>
      </c>
      <c r="C71" s="88"/>
      <c r="D71" s="253">
        <f>SUM(D66:D70)</f>
        <v>8700.39</v>
      </c>
      <c r="E71" s="253">
        <f>SUM(E66:E70)</f>
        <v>42254.65</v>
      </c>
      <c r="F71" s="263">
        <f>SUM(F66:F70)</f>
        <v>5</v>
      </c>
      <c r="G71" s="16"/>
    </row>
    <row r="72" spans="2:9">
      <c r="B72" s="13" t="s">
        <v>68</v>
      </c>
      <c r="C72" s="89"/>
      <c r="D72" s="30">
        <v>0</v>
      </c>
      <c r="E72" s="30">
        <v>0</v>
      </c>
      <c r="F72" s="80">
        <v>0</v>
      </c>
      <c r="G72" s="257" t="s">
        <v>575</v>
      </c>
    </row>
    <row r="73" spans="2:9" ht="15.6">
      <c r="B73" s="87" t="s">
        <v>51</v>
      </c>
      <c r="C73" s="88"/>
      <c r="D73" s="253">
        <f>SUM(D72)</f>
        <v>0</v>
      </c>
      <c r="E73" s="253">
        <f>SUM(E72)</f>
        <v>0</v>
      </c>
      <c r="F73" s="263">
        <f>SUM(F72)</f>
        <v>0</v>
      </c>
      <c r="G73" s="16"/>
    </row>
    <row r="74" spans="2:9" ht="15.6">
      <c r="B74" s="311"/>
      <c r="C74" s="311"/>
      <c r="D74" s="311"/>
      <c r="E74" s="311"/>
      <c r="F74" s="311"/>
      <c r="G74" s="311"/>
    </row>
    <row r="75" spans="2:9" ht="30">
      <c r="B75" s="87" t="s">
        <v>163</v>
      </c>
      <c r="C75" s="88"/>
      <c r="D75" s="100">
        <f>D73+D71+D65+D63+D61+D57+D51</f>
        <v>74686.01999999999</v>
      </c>
      <c r="E75" s="100">
        <f>E73+E71+E65+E63+E61+E57+E51</f>
        <v>44580.100000000006</v>
      </c>
      <c r="F75" s="90">
        <f>F73+F71+F65+F63+F61+F57+F51</f>
        <v>208</v>
      </c>
      <c r="G75" s="16"/>
    </row>
    <row r="76" spans="2:9">
      <c r="B76" s="22"/>
      <c r="C76" s="23"/>
      <c r="D76" s="23"/>
      <c r="E76" s="23"/>
      <c r="F76" s="23"/>
    </row>
    <row r="77" spans="2:9">
      <c r="B77" s="22"/>
      <c r="C77" s="23"/>
      <c r="D77" s="23"/>
      <c r="E77" s="23"/>
      <c r="F77" s="23"/>
    </row>
    <row r="78" spans="2:9">
      <c r="B78" s="251" t="s">
        <v>580</v>
      </c>
    </row>
    <row r="79" spans="2:9">
      <c r="B79" s="251"/>
    </row>
    <row r="80" spans="2:9">
      <c r="B80" t="s">
        <v>576</v>
      </c>
    </row>
    <row r="81" spans="2:2">
      <c r="B81" t="s">
        <v>577</v>
      </c>
    </row>
    <row r="82" spans="2:2">
      <c r="B82" t="s">
        <v>578</v>
      </c>
    </row>
    <row r="84" spans="2:2">
      <c r="B84" t="s">
        <v>167</v>
      </c>
    </row>
    <row r="86" spans="2:2">
      <c r="B86" t="s">
        <v>76</v>
      </c>
    </row>
    <row r="87" spans="2:2" ht="15.75" customHeight="1"/>
  </sheetData>
  <mergeCells count="8">
    <mergeCell ref="B74:G74"/>
    <mergeCell ref="B66:B70"/>
    <mergeCell ref="B4:G4"/>
    <mergeCell ref="B5:G5"/>
    <mergeCell ref="B6:G6"/>
    <mergeCell ref="B8:B50"/>
    <mergeCell ref="B52:B56"/>
    <mergeCell ref="B58:G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6799-1CE7-45C6-A9C6-4885B3711894}">
  <dimension ref="A1:J79"/>
  <sheetViews>
    <sheetView topLeftCell="A60" zoomScale="120" zoomScaleNormal="120" workbookViewId="0">
      <selection activeCell="C73" sqref="C73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302" t="s">
        <v>78</v>
      </c>
      <c r="C4" s="302"/>
      <c r="D4" s="302"/>
      <c r="E4" s="302"/>
      <c r="F4" s="302"/>
      <c r="G4" s="302"/>
    </row>
    <row r="5" spans="2:7" ht="31.5" customHeight="1">
      <c r="B5" s="302" t="s">
        <v>2</v>
      </c>
      <c r="C5" s="302"/>
      <c r="D5" s="302"/>
      <c r="E5" s="302"/>
      <c r="F5" s="302"/>
      <c r="G5" s="302"/>
    </row>
    <row r="6" spans="2:7" ht="26.25" customHeight="1">
      <c r="B6" s="303" t="s">
        <v>3</v>
      </c>
      <c r="C6" s="303"/>
      <c r="D6" s="303"/>
      <c r="E6" s="303"/>
      <c r="F6" s="303"/>
      <c r="G6" s="303"/>
    </row>
    <row r="7" spans="2:7" ht="55.5" customHeight="1"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9</v>
      </c>
    </row>
    <row r="8" spans="2:7" ht="55.5" customHeight="1">
      <c r="B8" s="279" t="s">
        <v>10</v>
      </c>
      <c r="C8" s="8" t="s">
        <v>11</v>
      </c>
      <c r="D8" s="30">
        <v>3143.94</v>
      </c>
      <c r="E8" s="30">
        <v>4.25</v>
      </c>
      <c r="F8" s="129">
        <v>5</v>
      </c>
      <c r="G8" s="32"/>
    </row>
    <row r="9" spans="2:7" ht="55.5" customHeight="1">
      <c r="B9" s="280"/>
      <c r="C9" s="8" t="s">
        <v>12</v>
      </c>
      <c r="D9" s="30">
        <v>286.5</v>
      </c>
      <c r="E9" s="30">
        <v>3</v>
      </c>
      <c r="F9" s="129">
        <v>4</v>
      </c>
      <c r="G9" s="32"/>
    </row>
    <row r="10" spans="2:7" ht="55.5" customHeight="1">
      <c r="B10" s="280"/>
      <c r="C10" s="8" t="s">
        <v>13</v>
      </c>
      <c r="D10" s="30">
        <v>396</v>
      </c>
      <c r="E10" s="30">
        <v>6</v>
      </c>
      <c r="F10" s="129">
        <v>1</v>
      </c>
      <c r="G10" s="32"/>
    </row>
    <row r="11" spans="2:7" ht="55.5" customHeight="1">
      <c r="B11" s="280"/>
      <c r="C11" s="8" t="s">
        <v>14</v>
      </c>
      <c r="D11" s="30">
        <v>503.25</v>
      </c>
      <c r="E11" s="30">
        <v>3</v>
      </c>
      <c r="F11" s="129">
        <v>6</v>
      </c>
      <c r="G11" s="32"/>
    </row>
    <row r="12" spans="2:7" ht="55.5" customHeight="1">
      <c r="B12" s="280"/>
      <c r="C12" s="8" t="s">
        <v>15</v>
      </c>
      <c r="D12" s="30">
        <v>154.06</v>
      </c>
      <c r="E12" s="30">
        <v>4.25</v>
      </c>
      <c r="F12" s="129">
        <v>2</v>
      </c>
      <c r="G12" s="32"/>
    </row>
    <row r="13" spans="2:7" ht="55.5" customHeight="1">
      <c r="B13" s="280"/>
      <c r="C13" s="8" t="s">
        <v>16</v>
      </c>
      <c r="D13" s="30">
        <v>4878.25</v>
      </c>
      <c r="E13" s="30">
        <v>4.75</v>
      </c>
      <c r="F13" s="129">
        <v>5</v>
      </c>
      <c r="G13" s="32"/>
    </row>
    <row r="14" spans="2:7" ht="55.5" customHeight="1">
      <c r="B14" s="280"/>
      <c r="C14" s="8" t="s">
        <v>17</v>
      </c>
      <c r="D14" s="30">
        <v>640.13</v>
      </c>
      <c r="E14" s="30">
        <v>3</v>
      </c>
      <c r="F14" s="129">
        <v>3</v>
      </c>
      <c r="G14" s="32"/>
    </row>
    <row r="15" spans="2:7" ht="55.5" customHeight="1">
      <c r="B15" s="280"/>
      <c r="C15" s="8" t="s">
        <v>18</v>
      </c>
      <c r="D15" s="30">
        <v>110.63</v>
      </c>
      <c r="E15" s="30">
        <v>3</v>
      </c>
      <c r="F15" s="129">
        <v>1</v>
      </c>
      <c r="G15" s="32"/>
    </row>
    <row r="16" spans="2:7" ht="55.5" customHeight="1">
      <c r="B16" s="280"/>
      <c r="C16" s="8" t="s">
        <v>19</v>
      </c>
      <c r="D16" s="30">
        <v>1271.28</v>
      </c>
      <c r="E16" s="30">
        <v>4.25</v>
      </c>
      <c r="F16" s="129">
        <v>5</v>
      </c>
      <c r="G16" s="32"/>
    </row>
    <row r="17" spans="2:7" ht="55.5" customHeight="1">
      <c r="B17" s="280"/>
      <c r="C17" s="8" t="s">
        <v>20</v>
      </c>
      <c r="D17" s="30">
        <v>335.25</v>
      </c>
      <c r="E17" s="30">
        <v>3</v>
      </c>
      <c r="F17" s="129">
        <v>2</v>
      </c>
      <c r="G17" s="32"/>
    </row>
    <row r="18" spans="2:7" ht="55.5" customHeight="1">
      <c r="B18" s="280"/>
      <c r="C18" s="8" t="s">
        <v>21</v>
      </c>
      <c r="D18" s="30">
        <v>745.88</v>
      </c>
      <c r="E18" s="30">
        <v>4.25</v>
      </c>
      <c r="F18" s="129">
        <v>2</v>
      </c>
      <c r="G18" s="32"/>
    </row>
    <row r="19" spans="2:7" ht="55.5" customHeight="1">
      <c r="B19" s="280"/>
      <c r="C19" s="8" t="s">
        <v>22</v>
      </c>
      <c r="D19" s="30">
        <v>351</v>
      </c>
      <c r="E19" s="30">
        <v>3</v>
      </c>
      <c r="F19" s="129">
        <v>1</v>
      </c>
      <c r="G19" s="32"/>
    </row>
    <row r="20" spans="2:7" ht="55.5" customHeight="1">
      <c r="B20" s="280"/>
      <c r="C20" s="8" t="s">
        <v>23</v>
      </c>
      <c r="D20" s="30">
        <v>2168.87</v>
      </c>
      <c r="E20" s="30">
        <v>4.25</v>
      </c>
      <c r="F20" s="129">
        <v>3</v>
      </c>
      <c r="G20" s="32"/>
    </row>
    <row r="21" spans="2:7" ht="55.5" customHeight="1">
      <c r="B21" s="280"/>
      <c r="C21" s="8" t="s">
        <v>24</v>
      </c>
      <c r="D21" s="30">
        <v>763.76</v>
      </c>
      <c r="E21" s="30">
        <v>3</v>
      </c>
      <c r="F21" s="129">
        <v>4</v>
      </c>
      <c r="G21" s="32"/>
    </row>
    <row r="22" spans="2:7" ht="55.5" customHeight="1">
      <c r="B22" s="280"/>
      <c r="C22" s="8" t="s">
        <v>25</v>
      </c>
      <c r="D22" s="30">
        <v>90</v>
      </c>
      <c r="E22" s="30">
        <v>3</v>
      </c>
      <c r="F22" s="129">
        <v>1</v>
      </c>
      <c r="G22" s="32"/>
    </row>
    <row r="23" spans="2:7" ht="55.5" customHeight="1">
      <c r="B23" s="280"/>
      <c r="C23" s="8" t="s">
        <v>26</v>
      </c>
      <c r="D23" s="30">
        <v>261.38</v>
      </c>
      <c r="E23" s="30">
        <v>4.25</v>
      </c>
      <c r="F23" s="129">
        <v>2</v>
      </c>
      <c r="G23" s="32"/>
    </row>
    <row r="24" spans="2:7" ht="55.5" customHeight="1">
      <c r="B24" s="280"/>
      <c r="C24" s="8" t="s">
        <v>27</v>
      </c>
      <c r="D24" s="30">
        <v>47.25</v>
      </c>
      <c r="E24" s="30">
        <v>3</v>
      </c>
      <c r="F24" s="129">
        <v>1</v>
      </c>
      <c r="G24" s="32"/>
    </row>
    <row r="25" spans="2:7" ht="55.5" customHeight="1">
      <c r="B25" s="280"/>
      <c r="C25" s="8" t="s">
        <v>28</v>
      </c>
      <c r="D25" s="30">
        <v>524.34</v>
      </c>
      <c r="E25" s="30">
        <v>4.25</v>
      </c>
      <c r="F25" s="129">
        <v>2</v>
      </c>
      <c r="G25" s="32"/>
    </row>
    <row r="26" spans="2:7" ht="55.5" customHeight="1">
      <c r="B26" s="280"/>
      <c r="C26" s="8" t="s">
        <v>29</v>
      </c>
      <c r="D26" s="30">
        <v>47.25</v>
      </c>
      <c r="E26" s="30">
        <v>3</v>
      </c>
      <c r="F26" s="129">
        <v>1</v>
      </c>
      <c r="G26" s="32"/>
    </row>
    <row r="27" spans="2:7" ht="55.5" customHeight="1">
      <c r="B27" s="280"/>
      <c r="C27" s="8" t="s">
        <v>30</v>
      </c>
      <c r="D27" s="30">
        <v>1661.22</v>
      </c>
      <c r="E27" s="30">
        <v>4.25</v>
      </c>
      <c r="F27" s="129">
        <v>6</v>
      </c>
      <c r="G27" s="32"/>
    </row>
    <row r="28" spans="2:7" ht="55.5" customHeight="1">
      <c r="B28" s="280"/>
      <c r="C28" s="8" t="s">
        <v>31</v>
      </c>
      <c r="D28" s="30">
        <v>0</v>
      </c>
      <c r="E28" s="30">
        <v>3</v>
      </c>
      <c r="F28" s="129">
        <v>0</v>
      </c>
      <c r="G28" s="8" t="s">
        <v>73</v>
      </c>
    </row>
    <row r="29" spans="2:7" ht="55.5" customHeight="1">
      <c r="B29" s="280"/>
      <c r="C29" s="8" t="s">
        <v>32</v>
      </c>
      <c r="D29" s="30">
        <v>78.63</v>
      </c>
      <c r="E29" s="30">
        <v>4.25</v>
      </c>
      <c r="F29" s="129">
        <v>3</v>
      </c>
      <c r="G29" s="32"/>
    </row>
    <row r="30" spans="2:7" ht="55.5" customHeight="1">
      <c r="B30" s="280"/>
      <c r="C30" s="8" t="s">
        <v>33</v>
      </c>
      <c r="D30" s="30">
        <v>0</v>
      </c>
      <c r="E30" s="30">
        <v>3</v>
      </c>
      <c r="F30" s="129">
        <v>0</v>
      </c>
      <c r="G30" s="8" t="s">
        <v>73</v>
      </c>
    </row>
    <row r="31" spans="2:7" ht="55.5" customHeight="1">
      <c r="B31" s="280"/>
      <c r="C31" s="8" t="s">
        <v>34</v>
      </c>
      <c r="D31" s="30">
        <v>911.63</v>
      </c>
      <c r="E31" s="30">
        <v>4.25</v>
      </c>
      <c r="F31" s="129">
        <v>2</v>
      </c>
      <c r="G31" s="32"/>
    </row>
    <row r="32" spans="2:7" ht="55.5" customHeight="1">
      <c r="B32" s="280"/>
      <c r="C32" s="8" t="s">
        <v>35</v>
      </c>
      <c r="D32" s="30">
        <v>493.5</v>
      </c>
      <c r="E32" s="30">
        <v>3</v>
      </c>
      <c r="F32" s="129">
        <v>3</v>
      </c>
      <c r="G32" s="32"/>
    </row>
    <row r="33" spans="2:7" ht="55.5" customHeight="1">
      <c r="B33" s="280"/>
      <c r="C33" s="8" t="s">
        <v>36</v>
      </c>
      <c r="D33" s="30">
        <v>0</v>
      </c>
      <c r="E33" s="30">
        <v>3</v>
      </c>
      <c r="F33" s="129">
        <v>0</v>
      </c>
      <c r="G33" s="8" t="s">
        <v>73</v>
      </c>
    </row>
    <row r="34" spans="2:7" ht="55.5" customHeight="1">
      <c r="B34" s="280"/>
      <c r="C34" s="8" t="s">
        <v>37</v>
      </c>
      <c r="D34" s="30">
        <v>1545.94</v>
      </c>
      <c r="E34" s="30">
        <v>4.25</v>
      </c>
      <c r="F34" s="129">
        <v>6</v>
      </c>
      <c r="G34" s="32"/>
    </row>
    <row r="35" spans="2:7" ht="55.5" customHeight="1">
      <c r="B35" s="280"/>
      <c r="C35" s="8" t="s">
        <v>38</v>
      </c>
      <c r="D35" s="30">
        <v>253.5</v>
      </c>
      <c r="E35" s="30">
        <v>3</v>
      </c>
      <c r="F35" s="129">
        <v>3</v>
      </c>
      <c r="G35" s="32"/>
    </row>
    <row r="36" spans="2:7" ht="55.5" customHeight="1">
      <c r="B36" s="280"/>
      <c r="C36" s="8" t="s">
        <v>39</v>
      </c>
      <c r="D36" s="30">
        <v>811.88</v>
      </c>
      <c r="E36" s="30">
        <v>3</v>
      </c>
      <c r="F36" s="129">
        <v>4</v>
      </c>
      <c r="G36" s="32"/>
    </row>
    <row r="37" spans="2:7" ht="55.5" customHeight="1">
      <c r="B37" s="280"/>
      <c r="C37" s="8" t="s">
        <v>40</v>
      </c>
      <c r="D37" s="30">
        <v>2441.63</v>
      </c>
      <c r="E37" s="30">
        <v>4.25</v>
      </c>
      <c r="F37" s="129">
        <v>2</v>
      </c>
      <c r="G37" s="32"/>
    </row>
    <row r="38" spans="2:7" ht="55.5" customHeight="1">
      <c r="B38" s="280"/>
      <c r="C38" s="8" t="s">
        <v>41</v>
      </c>
      <c r="D38" s="30">
        <v>0</v>
      </c>
      <c r="E38" s="30">
        <v>3</v>
      </c>
      <c r="F38" s="129">
        <v>0</v>
      </c>
      <c r="G38" s="8" t="s">
        <v>73</v>
      </c>
    </row>
    <row r="39" spans="2:7" ht="55.5" customHeight="1">
      <c r="B39" s="280"/>
      <c r="C39" s="8" t="s">
        <v>42</v>
      </c>
      <c r="D39" s="30">
        <v>65.63</v>
      </c>
      <c r="E39" s="30">
        <v>4.25</v>
      </c>
      <c r="F39" s="129">
        <v>1</v>
      </c>
      <c r="G39" s="32"/>
    </row>
    <row r="40" spans="2:7" ht="55.5" customHeight="1">
      <c r="B40" s="280"/>
      <c r="C40" s="8" t="s">
        <v>43</v>
      </c>
      <c r="D40" s="30">
        <v>114</v>
      </c>
      <c r="E40" s="30">
        <v>4.25</v>
      </c>
      <c r="F40" s="129">
        <v>1</v>
      </c>
      <c r="G40" s="32"/>
    </row>
    <row r="41" spans="2:7" ht="55.5" customHeight="1">
      <c r="B41" s="280"/>
      <c r="C41" s="8" t="s">
        <v>44</v>
      </c>
      <c r="D41" s="30">
        <v>198.75</v>
      </c>
      <c r="E41" s="30">
        <v>3</v>
      </c>
      <c r="F41" s="129">
        <v>4</v>
      </c>
      <c r="G41" s="32"/>
    </row>
    <row r="42" spans="2:7" ht="55.5" customHeight="1">
      <c r="B42" s="280"/>
      <c r="C42" s="8" t="s">
        <v>45</v>
      </c>
      <c r="D42" s="30">
        <v>283.5</v>
      </c>
      <c r="E42" s="30">
        <v>3</v>
      </c>
      <c r="F42" s="129">
        <v>4</v>
      </c>
      <c r="G42" s="32"/>
    </row>
    <row r="43" spans="2:7" ht="55.5" customHeight="1">
      <c r="B43" s="280"/>
      <c r="C43" s="8" t="s">
        <v>46</v>
      </c>
      <c r="D43" s="30">
        <v>0</v>
      </c>
      <c r="E43" s="30">
        <v>3</v>
      </c>
      <c r="F43" s="129">
        <v>0</v>
      </c>
      <c r="G43" s="8" t="s">
        <v>73</v>
      </c>
    </row>
    <row r="44" spans="2:7" ht="55.5" customHeight="1">
      <c r="B44" s="280"/>
      <c r="C44" s="8" t="s">
        <v>47</v>
      </c>
      <c r="D44" s="30">
        <v>463.63</v>
      </c>
      <c r="E44" s="30">
        <v>3</v>
      </c>
      <c r="F44" s="129">
        <v>3</v>
      </c>
      <c r="G44" s="32"/>
    </row>
    <row r="45" spans="2:7" ht="55.5" customHeight="1">
      <c r="B45" s="280"/>
      <c r="C45" s="8" t="s">
        <v>48</v>
      </c>
      <c r="D45" s="30">
        <v>0</v>
      </c>
      <c r="E45" s="30">
        <v>3</v>
      </c>
      <c r="F45" s="129">
        <v>0</v>
      </c>
      <c r="G45" s="8" t="s">
        <v>73</v>
      </c>
    </row>
    <row r="46" spans="2:7" ht="55.5" customHeight="1">
      <c r="B46" s="280"/>
      <c r="C46" s="8" t="s">
        <v>49</v>
      </c>
      <c r="D46" s="30">
        <v>2927.23</v>
      </c>
      <c r="E46" s="30">
        <v>4.75</v>
      </c>
      <c r="F46" s="129">
        <v>11</v>
      </c>
      <c r="G46" s="8" t="s">
        <v>50</v>
      </c>
    </row>
    <row r="47" spans="2:7" ht="55.5" customHeight="1">
      <c r="B47" s="281"/>
      <c r="C47" s="8" t="s">
        <v>49</v>
      </c>
      <c r="D47" s="30">
        <v>0</v>
      </c>
      <c r="E47" s="30">
        <v>9.5</v>
      </c>
      <c r="F47" s="129">
        <v>0</v>
      </c>
      <c r="G47" s="8" t="s">
        <v>73</v>
      </c>
    </row>
    <row r="48" spans="2:7" ht="25.5" customHeight="1">
      <c r="B48" s="7" t="s">
        <v>51</v>
      </c>
      <c r="C48" s="8"/>
      <c r="D48" s="31">
        <f>SUM(D8:D47)</f>
        <v>28969.690000000002</v>
      </c>
      <c r="E48" s="31">
        <f>SUM(E8:E47)</f>
        <v>150.5</v>
      </c>
      <c r="F48" s="264">
        <f>SUM(F8:F47)</f>
        <v>104</v>
      </c>
      <c r="G48" s="9"/>
    </row>
    <row r="49" spans="1:10" ht="55.5" customHeight="1">
      <c r="B49" s="315" t="s">
        <v>52</v>
      </c>
      <c r="C49" s="8" t="s">
        <v>53</v>
      </c>
      <c r="D49" s="30">
        <v>0</v>
      </c>
      <c r="E49" s="30">
        <v>0</v>
      </c>
      <c r="F49" s="129">
        <v>2</v>
      </c>
      <c r="G49" s="8" t="s">
        <v>54</v>
      </c>
    </row>
    <row r="50" spans="1:10" ht="55.5" customHeight="1">
      <c r="B50" s="315"/>
      <c r="C50" s="8" t="s">
        <v>53</v>
      </c>
      <c r="D50" s="30">
        <v>37</v>
      </c>
      <c r="E50" s="30">
        <v>74</v>
      </c>
      <c r="F50" s="129">
        <v>2</v>
      </c>
      <c r="G50" s="32"/>
    </row>
    <row r="51" spans="1:10" ht="55.5" customHeight="1">
      <c r="B51" s="315"/>
      <c r="C51" s="8" t="s">
        <v>55</v>
      </c>
      <c r="D51" s="30">
        <v>0</v>
      </c>
      <c r="E51" s="30">
        <v>0</v>
      </c>
      <c r="F51" s="129">
        <v>0</v>
      </c>
      <c r="G51" s="8" t="s">
        <v>54</v>
      </c>
    </row>
    <row r="52" spans="1:10" ht="55.5" customHeight="1">
      <c r="B52" s="315"/>
      <c r="C52" s="8" t="s">
        <v>55</v>
      </c>
      <c r="D52" s="30">
        <v>1240</v>
      </c>
      <c r="E52" s="30">
        <v>124</v>
      </c>
      <c r="F52" s="129">
        <v>10</v>
      </c>
      <c r="G52" s="32"/>
      <c r="H52" s="10"/>
      <c r="I52" s="10"/>
      <c r="J52" s="10"/>
    </row>
    <row r="53" spans="1:10" ht="25.5" customHeight="1">
      <c r="B53" s="11" t="s">
        <v>51</v>
      </c>
      <c r="C53" s="11"/>
      <c r="D53" s="31">
        <f>SUM(D49:D52)</f>
        <v>1277</v>
      </c>
      <c r="E53" s="31">
        <f>SUM(E49:E52)</f>
        <v>198</v>
      </c>
      <c r="F53" s="264">
        <f>SUM(F49:F52)</f>
        <v>14</v>
      </c>
      <c r="G53" s="9"/>
      <c r="H53" s="10"/>
      <c r="I53" s="10"/>
      <c r="J53" s="10"/>
    </row>
    <row r="54" spans="1:10" ht="31.5" customHeight="1">
      <c r="B54" s="318" t="s">
        <v>56</v>
      </c>
      <c r="C54" s="318"/>
      <c r="D54" s="318"/>
      <c r="E54" s="318"/>
      <c r="F54" s="318"/>
      <c r="G54" s="319"/>
    </row>
    <row r="55" spans="1:10" ht="53.25" customHeight="1">
      <c r="A55" s="12"/>
      <c r="B55" s="4" t="s">
        <v>4</v>
      </c>
      <c r="C55" s="4" t="s">
        <v>57</v>
      </c>
      <c r="D55" s="4" t="s">
        <v>6</v>
      </c>
      <c r="E55" s="4" t="s">
        <v>58</v>
      </c>
      <c r="F55" s="4" t="s">
        <v>8</v>
      </c>
      <c r="G55" s="5" t="s">
        <v>59</v>
      </c>
    </row>
    <row r="56" spans="1:10" ht="33" customHeight="1">
      <c r="B56" s="13" t="s">
        <v>60</v>
      </c>
      <c r="C56" s="14"/>
      <c r="D56" s="30">
        <v>0</v>
      </c>
      <c r="E56" s="30">
        <v>0</v>
      </c>
      <c r="F56" s="33">
        <v>0</v>
      </c>
      <c r="G56" s="8" t="s">
        <v>73</v>
      </c>
    </row>
    <row r="57" spans="1:10" ht="20.100000000000001" customHeight="1">
      <c r="B57" s="17" t="s">
        <v>51</v>
      </c>
      <c r="C57" s="18"/>
      <c r="D57" s="31">
        <f>D56</f>
        <v>0</v>
      </c>
      <c r="E57" s="31">
        <f>E56</f>
        <v>0</v>
      </c>
      <c r="F57" s="264">
        <f>F56</f>
        <v>0</v>
      </c>
      <c r="G57" s="16"/>
    </row>
    <row r="58" spans="1:10" ht="39.9" customHeight="1">
      <c r="B58" s="13" t="s">
        <v>61</v>
      </c>
      <c r="C58" s="27" t="s">
        <v>62</v>
      </c>
      <c r="D58" s="30">
        <v>6918.97</v>
      </c>
      <c r="E58" s="30">
        <v>5692.16</v>
      </c>
      <c r="F58" s="33">
        <v>107</v>
      </c>
      <c r="G58" s="33" t="s">
        <v>74</v>
      </c>
    </row>
    <row r="59" spans="1:10" ht="20.100000000000001" customHeight="1">
      <c r="B59" s="17" t="s">
        <v>51</v>
      </c>
      <c r="C59" s="29"/>
      <c r="D59" s="31">
        <f>D58</f>
        <v>6918.97</v>
      </c>
      <c r="E59" s="31">
        <f>E58</f>
        <v>5692.16</v>
      </c>
      <c r="F59" s="264">
        <f>F58</f>
        <v>107</v>
      </c>
      <c r="G59" s="16"/>
    </row>
    <row r="60" spans="1:10" ht="59.4" customHeight="1">
      <c r="B60" s="13" t="s">
        <v>63</v>
      </c>
      <c r="C60" s="27" t="s">
        <v>64</v>
      </c>
      <c r="D60" s="30">
        <v>1341.28</v>
      </c>
      <c r="E60" s="30">
        <v>1341.28</v>
      </c>
      <c r="F60" s="33">
        <v>1</v>
      </c>
      <c r="G60" s="20"/>
    </row>
    <row r="61" spans="1:10" ht="20.100000000000001" customHeight="1">
      <c r="B61" s="17" t="s">
        <v>51</v>
      </c>
      <c r="C61" s="29"/>
      <c r="D61" s="31">
        <f>D60</f>
        <v>1341.28</v>
      </c>
      <c r="E61" s="31">
        <f>E60</f>
        <v>1341.28</v>
      </c>
      <c r="F61" s="264">
        <f>F60</f>
        <v>1</v>
      </c>
      <c r="G61" s="16"/>
    </row>
    <row r="62" spans="1:10" ht="39.9" customHeight="1">
      <c r="B62" s="13" t="s">
        <v>65</v>
      </c>
      <c r="C62" s="27" t="s">
        <v>66</v>
      </c>
      <c r="D62" s="30">
        <v>6860</v>
      </c>
      <c r="E62" s="30">
        <v>20580</v>
      </c>
      <c r="F62" s="33">
        <v>1</v>
      </c>
      <c r="G62" s="33" t="s">
        <v>67</v>
      </c>
    </row>
    <row r="63" spans="1:10" ht="20.100000000000001" customHeight="1">
      <c r="B63" s="17" t="s">
        <v>51</v>
      </c>
      <c r="C63" s="18"/>
      <c r="D63" s="31">
        <f>D62</f>
        <v>6860</v>
      </c>
      <c r="E63" s="31">
        <f>E62</f>
        <v>20580</v>
      </c>
      <c r="F63" s="264">
        <f>F62</f>
        <v>1</v>
      </c>
      <c r="G63" s="16"/>
    </row>
    <row r="64" spans="1:10" ht="39.9" customHeight="1">
      <c r="B64" s="13" t="s">
        <v>68</v>
      </c>
      <c r="C64" s="21"/>
      <c r="D64" s="30">
        <v>0</v>
      </c>
      <c r="E64" s="30">
        <v>0</v>
      </c>
      <c r="F64" s="33">
        <v>0</v>
      </c>
      <c r="G64" s="8" t="s">
        <v>73</v>
      </c>
    </row>
    <row r="65" spans="2:7" ht="20.100000000000001" customHeight="1">
      <c r="B65" s="17" t="s">
        <v>51</v>
      </c>
      <c r="C65" s="18"/>
      <c r="D65" s="31">
        <f>D64</f>
        <v>0</v>
      </c>
      <c r="E65" s="31">
        <f>E64</f>
        <v>0</v>
      </c>
      <c r="F65" s="264">
        <f>F64</f>
        <v>0</v>
      </c>
      <c r="G65" s="16"/>
    </row>
    <row r="66" spans="2:7" ht="17.25" customHeight="1">
      <c r="B66" s="317"/>
      <c r="C66" s="317"/>
      <c r="D66" s="317"/>
      <c r="E66" s="317"/>
      <c r="F66" s="317"/>
      <c r="G66" s="317"/>
    </row>
    <row r="67" spans="2:7" ht="33" customHeight="1">
      <c r="B67" s="11" t="s">
        <v>69</v>
      </c>
      <c r="C67" s="18"/>
      <c r="D67" s="31">
        <f>SUM(D65,D63,D61,D59,D57,D53,D48)</f>
        <v>45366.94</v>
      </c>
      <c r="E67" s="31">
        <f>SUM(E65,E63,E61,E59,E57,E53,E48)</f>
        <v>27961.94</v>
      </c>
      <c r="F67" s="28">
        <f>SUM(F65,F63,F61,F59,F57,F53,F48)</f>
        <v>227</v>
      </c>
      <c r="G67" s="16"/>
    </row>
    <row r="68" spans="2:7">
      <c r="B68" s="22"/>
      <c r="C68" s="23"/>
      <c r="D68" s="23"/>
      <c r="E68" s="23"/>
      <c r="F68" s="23"/>
    </row>
    <row r="69" spans="2:7">
      <c r="B69" s="22"/>
      <c r="C69" s="23"/>
      <c r="D69" s="23"/>
      <c r="E69" s="23"/>
      <c r="F69" s="23"/>
    </row>
    <row r="70" spans="2:7">
      <c r="B70" s="24" t="s">
        <v>72</v>
      </c>
    </row>
    <row r="71" spans="2:7">
      <c r="B71" s="24"/>
    </row>
    <row r="72" spans="2:7">
      <c r="B72" s="25" t="s">
        <v>75</v>
      </c>
    </row>
    <row r="73" spans="2:7">
      <c r="B73" s="25" t="s">
        <v>70</v>
      </c>
    </row>
    <row r="74" spans="2:7">
      <c r="B74" s="25" t="s">
        <v>71</v>
      </c>
    </row>
    <row r="75" spans="2:7">
      <c r="B75" s="26"/>
    </row>
    <row r="76" spans="2:7">
      <c r="B76" s="271"/>
      <c r="C76" s="271"/>
      <c r="D76" s="271"/>
    </row>
    <row r="77" spans="2:7">
      <c r="B77" t="s">
        <v>76</v>
      </c>
    </row>
    <row r="79" spans="2:7" ht="15.75" customHeight="1"/>
  </sheetData>
  <mergeCells count="8">
    <mergeCell ref="B66:G66"/>
    <mergeCell ref="B76:D76"/>
    <mergeCell ref="B4:G4"/>
    <mergeCell ref="B5:G5"/>
    <mergeCell ref="B6:G6"/>
    <mergeCell ref="B8:B47"/>
    <mergeCell ref="B49:B52"/>
    <mergeCell ref="B54:G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F83A-60FB-4352-B965-51024EE8300B}">
  <dimension ref="A1:J93"/>
  <sheetViews>
    <sheetView topLeftCell="A70" workbookViewId="0">
      <selection activeCell="G78" sqref="G78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17" customWidth="1"/>
    <col min="6" max="6" width="15.33203125" customWidth="1"/>
    <col min="7" max="7" width="34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302" t="s">
        <v>78</v>
      </c>
      <c r="C4" s="302"/>
      <c r="D4" s="302"/>
      <c r="E4" s="302"/>
      <c r="F4" s="302"/>
      <c r="G4" s="302"/>
    </row>
    <row r="5" spans="2:7" ht="31.5" customHeight="1">
      <c r="B5" s="302" t="s">
        <v>399</v>
      </c>
      <c r="C5" s="302"/>
      <c r="D5" s="302"/>
      <c r="E5" s="302"/>
      <c r="F5" s="302"/>
      <c r="G5" s="302"/>
    </row>
    <row r="6" spans="2:7" ht="26.25" customHeight="1">
      <c r="B6" s="303" t="s">
        <v>3</v>
      </c>
      <c r="C6" s="303"/>
      <c r="D6" s="303"/>
      <c r="E6" s="303"/>
      <c r="F6" s="303"/>
      <c r="G6" s="303"/>
    </row>
    <row r="7" spans="2:7" ht="55.5" customHeight="1"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9</v>
      </c>
    </row>
    <row r="8" spans="2:7" ht="36.75" customHeight="1">
      <c r="B8" s="315" t="s">
        <v>10</v>
      </c>
      <c r="C8" s="265" t="s">
        <v>400</v>
      </c>
      <c r="D8" s="30">
        <v>601.02</v>
      </c>
      <c r="E8" s="224">
        <v>4.7699999999999996</v>
      </c>
      <c r="F8" s="129">
        <v>3</v>
      </c>
      <c r="G8" s="37"/>
    </row>
    <row r="9" spans="2:7" ht="36.75" customHeight="1">
      <c r="B9" s="315"/>
      <c r="C9" s="265" t="s">
        <v>401</v>
      </c>
      <c r="D9" s="30">
        <v>695.52</v>
      </c>
      <c r="E9" s="224">
        <v>2.7</v>
      </c>
      <c r="F9" s="129">
        <v>1</v>
      </c>
      <c r="G9" s="37"/>
    </row>
    <row r="10" spans="2:7" ht="36.75" customHeight="1">
      <c r="B10" s="315"/>
      <c r="C10" s="265" t="s">
        <v>402</v>
      </c>
      <c r="D10" s="30">
        <v>786.24</v>
      </c>
      <c r="E10" s="224">
        <v>2.7</v>
      </c>
      <c r="F10" s="129">
        <v>1</v>
      </c>
      <c r="G10" s="37"/>
    </row>
    <row r="11" spans="2:7" ht="36.75" customHeight="1">
      <c r="B11" s="315"/>
      <c r="C11" s="265" t="s">
        <v>403</v>
      </c>
      <c r="D11" s="30">
        <v>181.44</v>
      </c>
      <c r="E11" s="224">
        <v>2.7</v>
      </c>
      <c r="F11" s="129">
        <v>1</v>
      </c>
      <c r="G11" s="37"/>
    </row>
    <row r="12" spans="2:7" ht="36.75" customHeight="1">
      <c r="B12" s="315"/>
      <c r="C12" s="265" t="s">
        <v>404</v>
      </c>
      <c r="D12" s="30">
        <v>583.78</v>
      </c>
      <c r="E12" s="224">
        <v>4.7699999999999996</v>
      </c>
      <c r="F12" s="129">
        <v>1</v>
      </c>
      <c r="G12" s="37"/>
    </row>
    <row r="13" spans="2:7" ht="36.75" customHeight="1">
      <c r="B13" s="315"/>
      <c r="C13" s="265" t="s">
        <v>405</v>
      </c>
      <c r="D13" s="30">
        <v>0</v>
      </c>
      <c r="E13" s="224">
        <v>2.7</v>
      </c>
      <c r="F13" s="129">
        <v>1</v>
      </c>
      <c r="G13" s="37"/>
    </row>
    <row r="14" spans="2:7" ht="36.75" customHeight="1">
      <c r="B14" s="315"/>
      <c r="C14" s="265" t="s">
        <v>406</v>
      </c>
      <c r="D14" s="30">
        <v>1166.4000000000001</v>
      </c>
      <c r="E14" s="224">
        <v>2.7</v>
      </c>
      <c r="F14" s="129">
        <v>2</v>
      </c>
      <c r="G14" s="37"/>
    </row>
    <row r="15" spans="2:7" ht="36.75" customHeight="1">
      <c r="B15" s="315"/>
      <c r="C15" s="265" t="s">
        <v>407</v>
      </c>
      <c r="D15" s="30">
        <v>373.97</v>
      </c>
      <c r="E15" s="224">
        <v>4.7699999999999996</v>
      </c>
      <c r="F15" s="129">
        <v>1</v>
      </c>
      <c r="G15" s="37"/>
    </row>
    <row r="16" spans="2:7" ht="36.75" customHeight="1">
      <c r="B16" s="315"/>
      <c r="C16" s="265" t="s">
        <v>408</v>
      </c>
      <c r="D16" s="30">
        <v>597.79999999999995</v>
      </c>
      <c r="E16" s="224">
        <v>2.7</v>
      </c>
      <c r="F16" s="129">
        <v>4</v>
      </c>
      <c r="G16" s="37"/>
    </row>
    <row r="17" spans="2:7" ht="36.75" customHeight="1">
      <c r="B17" s="315"/>
      <c r="C17" s="265" t="s">
        <v>409</v>
      </c>
      <c r="D17" s="30">
        <v>86.4</v>
      </c>
      <c r="E17" s="224">
        <v>2.7</v>
      </c>
      <c r="F17" s="129">
        <v>1</v>
      </c>
      <c r="G17" s="37"/>
    </row>
    <row r="18" spans="2:7" ht="36.75" customHeight="1">
      <c r="B18" s="315"/>
      <c r="C18" s="265" t="s">
        <v>410</v>
      </c>
      <c r="D18" s="30">
        <v>396.77</v>
      </c>
      <c r="E18" s="224">
        <v>2.7</v>
      </c>
      <c r="F18" s="129">
        <v>4</v>
      </c>
      <c r="G18" s="37"/>
    </row>
    <row r="19" spans="2:7" ht="36.75" customHeight="1">
      <c r="B19" s="315"/>
      <c r="C19" s="265" t="s">
        <v>411</v>
      </c>
      <c r="D19" s="30">
        <v>6175.28</v>
      </c>
      <c r="E19" s="224">
        <v>6.81</v>
      </c>
      <c r="F19" s="129">
        <v>4</v>
      </c>
      <c r="G19" s="37"/>
    </row>
    <row r="20" spans="2:7" ht="36.75" customHeight="1">
      <c r="B20" s="315"/>
      <c r="C20" s="265" t="s">
        <v>412</v>
      </c>
      <c r="D20" s="30">
        <v>791.35</v>
      </c>
      <c r="E20" s="224">
        <v>4.7699999999999996</v>
      </c>
      <c r="F20" s="129">
        <v>2</v>
      </c>
      <c r="G20" s="37"/>
    </row>
    <row r="21" spans="2:7" ht="36.75" customHeight="1">
      <c r="B21" s="315"/>
      <c r="C21" s="265" t="s">
        <v>413</v>
      </c>
      <c r="D21" s="30">
        <v>228.69</v>
      </c>
      <c r="E21" s="224">
        <v>2.7</v>
      </c>
      <c r="F21" s="129">
        <v>2</v>
      </c>
      <c r="G21" s="37"/>
    </row>
    <row r="22" spans="2:7" ht="36.75" customHeight="1">
      <c r="B22" s="315"/>
      <c r="C22" s="265" t="s">
        <v>414</v>
      </c>
      <c r="D22" s="30">
        <v>1152.9000000000001</v>
      </c>
      <c r="E22" s="224">
        <v>9</v>
      </c>
      <c r="F22" s="129">
        <v>4</v>
      </c>
      <c r="G22" s="37"/>
    </row>
    <row r="23" spans="2:7" ht="36.75" customHeight="1">
      <c r="B23" s="315"/>
      <c r="C23" s="265" t="s">
        <v>414</v>
      </c>
      <c r="D23" s="30">
        <v>0</v>
      </c>
      <c r="E23" s="224">
        <v>2.7</v>
      </c>
      <c r="F23" s="129">
        <v>1</v>
      </c>
      <c r="G23" s="37"/>
    </row>
    <row r="24" spans="2:7" ht="36.75" customHeight="1">
      <c r="B24" s="315"/>
      <c r="C24" s="265" t="s">
        <v>415</v>
      </c>
      <c r="D24" s="30">
        <v>601.02</v>
      </c>
      <c r="E24" s="224">
        <v>4.7699999999999996</v>
      </c>
      <c r="F24" s="129">
        <v>3</v>
      </c>
      <c r="G24" s="37"/>
    </row>
    <row r="25" spans="2:7" ht="36.75" customHeight="1">
      <c r="B25" s="315"/>
      <c r="C25" s="265" t="s">
        <v>416</v>
      </c>
      <c r="D25" s="30">
        <v>103.51</v>
      </c>
      <c r="E25" s="224">
        <v>4.7699999999999996</v>
      </c>
      <c r="F25" s="129">
        <v>1</v>
      </c>
      <c r="G25" s="37"/>
    </row>
    <row r="26" spans="2:7" ht="36.75" customHeight="1">
      <c r="B26" s="315"/>
      <c r="C26" s="265" t="s">
        <v>417</v>
      </c>
      <c r="D26" s="30">
        <v>699.51</v>
      </c>
      <c r="E26" s="224">
        <v>4.7699999999999996</v>
      </c>
      <c r="F26" s="129">
        <v>4</v>
      </c>
      <c r="G26" s="37"/>
    </row>
    <row r="27" spans="2:7" ht="36.75" customHeight="1">
      <c r="B27" s="315"/>
      <c r="C27" s="265" t="s">
        <v>418</v>
      </c>
      <c r="D27" s="30">
        <v>3552.7</v>
      </c>
      <c r="E27" s="224">
        <v>4.7699999999999996</v>
      </c>
      <c r="F27" s="129">
        <v>1</v>
      </c>
      <c r="G27" s="37"/>
    </row>
    <row r="28" spans="2:7" ht="36.75" customHeight="1">
      <c r="B28" s="315"/>
      <c r="C28" s="265" t="s">
        <v>419</v>
      </c>
      <c r="D28" s="30">
        <v>248.76</v>
      </c>
      <c r="E28" s="224">
        <v>4.7699999999999996</v>
      </c>
      <c r="F28" s="129">
        <v>2</v>
      </c>
      <c r="G28" s="37"/>
    </row>
    <row r="29" spans="2:7" ht="36.75" customHeight="1">
      <c r="B29" s="315"/>
      <c r="C29" s="265" t="s">
        <v>420</v>
      </c>
      <c r="D29" s="30">
        <v>175.3</v>
      </c>
      <c r="E29" s="224">
        <v>4.7699999999999996</v>
      </c>
      <c r="F29" s="129">
        <v>1</v>
      </c>
      <c r="G29" s="37"/>
    </row>
    <row r="30" spans="2:7" ht="36.75" customHeight="1">
      <c r="B30" s="315"/>
      <c r="C30" s="265" t="s">
        <v>421</v>
      </c>
      <c r="D30" s="30">
        <v>1068.48</v>
      </c>
      <c r="E30" s="224">
        <v>4.7699999999999996</v>
      </c>
      <c r="F30" s="129">
        <v>2</v>
      </c>
      <c r="G30" s="37"/>
    </row>
    <row r="31" spans="2:7" ht="36.75" customHeight="1">
      <c r="B31" s="315"/>
      <c r="C31" s="265" t="s">
        <v>422</v>
      </c>
      <c r="D31" s="30">
        <v>1180.0999999999999</v>
      </c>
      <c r="E31" s="224">
        <v>4.7699999999999996</v>
      </c>
      <c r="F31" s="129">
        <v>4</v>
      </c>
      <c r="G31" s="37"/>
    </row>
    <row r="32" spans="2:7" ht="36.75" customHeight="1">
      <c r="B32" s="315"/>
      <c r="C32" s="265" t="s">
        <v>423</v>
      </c>
      <c r="D32" s="30">
        <v>584.32000000000005</v>
      </c>
      <c r="E32" s="224">
        <v>4.7699999999999996</v>
      </c>
      <c r="F32" s="129">
        <v>3</v>
      </c>
      <c r="G32" s="37"/>
    </row>
    <row r="33" spans="2:7" ht="36.75" customHeight="1">
      <c r="B33" s="315"/>
      <c r="C33" s="265" t="s">
        <v>424</v>
      </c>
      <c r="D33" s="30">
        <v>158.76</v>
      </c>
      <c r="E33" s="224">
        <v>2.7</v>
      </c>
      <c r="F33" s="129">
        <v>2</v>
      </c>
      <c r="G33" s="37"/>
    </row>
    <row r="34" spans="2:7" ht="36.75" customHeight="1">
      <c r="B34" s="315"/>
      <c r="C34" s="265" t="s">
        <v>425</v>
      </c>
      <c r="D34" s="30">
        <v>246.65</v>
      </c>
      <c r="E34" s="224">
        <v>2.7</v>
      </c>
      <c r="F34" s="129">
        <v>2</v>
      </c>
      <c r="G34" s="37"/>
    </row>
    <row r="35" spans="2:7" ht="36.75" customHeight="1">
      <c r="B35" s="315"/>
      <c r="C35" s="265" t="s">
        <v>426</v>
      </c>
      <c r="D35" s="30">
        <v>213.7</v>
      </c>
      <c r="E35" s="224">
        <v>4.7699999999999996</v>
      </c>
      <c r="F35" s="129">
        <v>1</v>
      </c>
      <c r="G35" s="37"/>
    </row>
    <row r="36" spans="2:7" ht="36.75" customHeight="1">
      <c r="B36" s="315"/>
      <c r="C36" s="265" t="s">
        <v>427</v>
      </c>
      <c r="D36" s="30">
        <v>382.63</v>
      </c>
      <c r="E36" s="224">
        <v>2.7</v>
      </c>
      <c r="F36" s="129">
        <v>2</v>
      </c>
      <c r="G36" s="37"/>
    </row>
    <row r="37" spans="2:7" ht="36.75" customHeight="1">
      <c r="B37" s="315"/>
      <c r="C37" s="265" t="s">
        <v>428</v>
      </c>
      <c r="D37" s="30">
        <v>449.82</v>
      </c>
      <c r="E37" s="224">
        <v>2.7</v>
      </c>
      <c r="F37" s="129">
        <v>3</v>
      </c>
      <c r="G37" s="37"/>
    </row>
    <row r="38" spans="2:7" ht="36.75" customHeight="1">
      <c r="B38" s="315"/>
      <c r="C38" s="265" t="s">
        <v>429</v>
      </c>
      <c r="D38" s="30">
        <v>234.49</v>
      </c>
      <c r="E38" s="224">
        <v>2.7</v>
      </c>
      <c r="F38" s="129">
        <v>4</v>
      </c>
      <c r="G38" s="37"/>
    </row>
    <row r="39" spans="2:7" ht="36.75" customHeight="1">
      <c r="B39" s="315"/>
      <c r="C39" s="265" t="s">
        <v>430</v>
      </c>
      <c r="D39" s="30">
        <v>0</v>
      </c>
      <c r="E39" s="224">
        <v>2.7</v>
      </c>
      <c r="F39" s="129">
        <v>1</v>
      </c>
      <c r="G39" s="37"/>
    </row>
    <row r="40" spans="2:7" ht="36.75" customHeight="1">
      <c r="B40" s="315"/>
      <c r="C40" s="265" t="s">
        <v>431</v>
      </c>
      <c r="D40" s="30">
        <v>1451.52</v>
      </c>
      <c r="E40" s="224">
        <v>2.7</v>
      </c>
      <c r="F40" s="129">
        <v>4</v>
      </c>
      <c r="G40" s="37"/>
    </row>
    <row r="41" spans="2:7" ht="36.75" customHeight="1">
      <c r="B41" s="315"/>
      <c r="C41" s="265" t="s">
        <v>432</v>
      </c>
      <c r="D41" s="30">
        <v>328.86</v>
      </c>
      <c r="E41" s="224">
        <v>2.7</v>
      </c>
      <c r="F41" s="129">
        <v>2</v>
      </c>
      <c r="G41" s="37"/>
    </row>
    <row r="42" spans="2:7" ht="36.75" customHeight="1">
      <c r="B42" s="315"/>
      <c r="C42" s="265" t="s">
        <v>432</v>
      </c>
      <c r="D42" s="30">
        <v>163.80000000000001</v>
      </c>
      <c r="E42" s="224">
        <v>9</v>
      </c>
      <c r="F42" s="129">
        <v>1</v>
      </c>
      <c r="G42" s="37"/>
    </row>
    <row r="43" spans="2:7" ht="36.75" customHeight="1">
      <c r="B43" s="315"/>
      <c r="C43" s="265" t="s">
        <v>433</v>
      </c>
      <c r="D43" s="30">
        <v>4414.41</v>
      </c>
      <c r="E43" s="224">
        <v>6.3</v>
      </c>
      <c r="F43" s="129">
        <v>4</v>
      </c>
      <c r="G43" s="37"/>
    </row>
    <row r="44" spans="2:7" ht="36.75" customHeight="1">
      <c r="B44" s="315"/>
      <c r="C44" s="265" t="s">
        <v>434</v>
      </c>
      <c r="D44" s="30">
        <v>801.36</v>
      </c>
      <c r="E44" s="224">
        <v>4.7699999999999996</v>
      </c>
      <c r="F44" s="129">
        <v>1</v>
      </c>
      <c r="G44" s="37"/>
    </row>
    <row r="45" spans="2:7" ht="36.75" customHeight="1">
      <c r="B45" s="315"/>
      <c r="C45" s="265" t="s">
        <v>435</v>
      </c>
      <c r="D45" s="30">
        <v>801.36</v>
      </c>
      <c r="E45" s="224">
        <v>4.7699999999999996</v>
      </c>
      <c r="F45" s="129">
        <v>1</v>
      </c>
      <c r="G45" s="37"/>
    </row>
    <row r="46" spans="2:7" ht="36.75" customHeight="1">
      <c r="B46" s="315"/>
      <c r="C46" s="265" t="s">
        <v>436</v>
      </c>
      <c r="D46" s="30">
        <v>201.6</v>
      </c>
      <c r="E46" s="224">
        <v>9</v>
      </c>
      <c r="F46" s="129">
        <v>2</v>
      </c>
      <c r="G46" s="37"/>
    </row>
    <row r="47" spans="2:7" ht="36.75" customHeight="1">
      <c r="B47" s="315"/>
      <c r="C47" s="265" t="s">
        <v>436</v>
      </c>
      <c r="D47" s="30">
        <v>58.59</v>
      </c>
      <c r="E47" s="224">
        <v>2.7</v>
      </c>
      <c r="F47" s="129">
        <v>2</v>
      </c>
      <c r="G47" s="37"/>
    </row>
    <row r="48" spans="2:7" ht="36.75" customHeight="1">
      <c r="B48" s="315"/>
      <c r="C48" s="265" t="s">
        <v>437</v>
      </c>
      <c r="D48" s="30">
        <v>0</v>
      </c>
      <c r="E48" s="224">
        <v>2.7</v>
      </c>
      <c r="F48" s="129">
        <v>1</v>
      </c>
      <c r="G48" s="37"/>
    </row>
    <row r="49" spans="2:7" ht="36.75" customHeight="1">
      <c r="B49" s="315"/>
      <c r="C49" s="265" t="s">
        <v>437</v>
      </c>
      <c r="D49" s="30">
        <v>403.2</v>
      </c>
      <c r="E49" s="224">
        <v>9</v>
      </c>
      <c r="F49" s="129">
        <v>1</v>
      </c>
      <c r="G49" s="37"/>
    </row>
    <row r="50" spans="2:7" ht="36.75" customHeight="1">
      <c r="B50" s="315"/>
      <c r="C50" s="265" t="s">
        <v>438</v>
      </c>
      <c r="D50" s="30">
        <v>2033.03</v>
      </c>
      <c r="E50" s="224">
        <v>4.7699999999999996</v>
      </c>
      <c r="F50" s="129">
        <v>3</v>
      </c>
      <c r="G50" s="37"/>
    </row>
    <row r="51" spans="2:7" ht="36.75" customHeight="1">
      <c r="B51" s="315"/>
      <c r="C51" s="265" t="s">
        <v>439</v>
      </c>
      <c r="D51" s="30">
        <v>1652.81</v>
      </c>
      <c r="E51" s="224">
        <v>4.7699999999999996</v>
      </c>
      <c r="F51" s="129">
        <v>1</v>
      </c>
      <c r="G51" s="37"/>
    </row>
    <row r="52" spans="2:7" ht="36.75" customHeight="1">
      <c r="B52" s="315"/>
      <c r="C52" s="265" t="s">
        <v>440</v>
      </c>
      <c r="D52" s="30">
        <v>1927.69</v>
      </c>
      <c r="E52" s="224">
        <v>4.7699999999999996</v>
      </c>
      <c r="F52" s="129">
        <v>2</v>
      </c>
      <c r="G52" s="37"/>
    </row>
    <row r="53" spans="2:7" ht="36.75" customHeight="1">
      <c r="B53" s="315"/>
      <c r="C53" s="265" t="s">
        <v>441</v>
      </c>
      <c r="D53" s="30">
        <v>534.24</v>
      </c>
      <c r="E53" s="224">
        <v>4.7699999999999996</v>
      </c>
      <c r="F53" s="129">
        <v>1</v>
      </c>
      <c r="G53" s="37"/>
    </row>
    <row r="54" spans="2:7" ht="36.75" customHeight="1">
      <c r="B54" s="315"/>
      <c r="C54" s="265" t="s">
        <v>442</v>
      </c>
      <c r="D54" s="30">
        <v>120.96</v>
      </c>
      <c r="E54" s="224">
        <v>2.7</v>
      </c>
      <c r="F54" s="129">
        <v>1</v>
      </c>
      <c r="G54" s="37"/>
    </row>
    <row r="55" spans="2:7" ht="36.75" customHeight="1">
      <c r="B55" s="315"/>
      <c r="C55" s="265" t="s">
        <v>443</v>
      </c>
      <c r="D55" s="30">
        <v>0</v>
      </c>
      <c r="E55" s="224">
        <v>2.7</v>
      </c>
      <c r="F55" s="129">
        <v>1</v>
      </c>
      <c r="G55" s="37"/>
    </row>
    <row r="56" spans="2:7" ht="36.75" customHeight="1">
      <c r="B56" s="315"/>
      <c r="C56" s="265" t="s">
        <v>444</v>
      </c>
      <c r="D56" s="30">
        <v>0</v>
      </c>
      <c r="E56" s="224">
        <v>2.7</v>
      </c>
      <c r="F56" s="129">
        <v>1</v>
      </c>
      <c r="G56" s="37"/>
    </row>
    <row r="57" spans="2:7" ht="36.75" customHeight="1">
      <c r="B57" s="315"/>
      <c r="C57" s="265" t="s">
        <v>445</v>
      </c>
      <c r="D57" s="30">
        <v>0</v>
      </c>
      <c r="E57" s="224">
        <v>2.7</v>
      </c>
      <c r="F57" s="129">
        <v>1</v>
      </c>
      <c r="G57" s="37"/>
    </row>
    <row r="58" spans="2:7" ht="36.75" customHeight="1">
      <c r="B58" s="315"/>
      <c r="C58" s="265" t="s">
        <v>446</v>
      </c>
      <c r="D58" s="30">
        <v>641.09</v>
      </c>
      <c r="E58" s="224">
        <v>4.7699999999999996</v>
      </c>
      <c r="F58" s="129">
        <v>1</v>
      </c>
      <c r="G58" s="37"/>
    </row>
    <row r="59" spans="2:7" ht="36.75" customHeight="1">
      <c r="B59" s="315"/>
      <c r="C59" s="265" t="s">
        <v>447</v>
      </c>
      <c r="D59" s="30">
        <v>170.1</v>
      </c>
      <c r="E59" s="224">
        <v>2.7</v>
      </c>
      <c r="F59" s="129">
        <v>1</v>
      </c>
      <c r="G59" s="37"/>
    </row>
    <row r="60" spans="2:7" ht="36.75" customHeight="1">
      <c r="B60" s="315"/>
      <c r="C60" s="265" t="s">
        <v>448</v>
      </c>
      <c r="D60" s="30">
        <v>311.85000000000002</v>
      </c>
      <c r="E60" s="224">
        <v>2.7</v>
      </c>
      <c r="F60" s="129">
        <v>1</v>
      </c>
      <c r="G60" s="37"/>
    </row>
    <row r="61" spans="2:7" ht="36.75" customHeight="1">
      <c r="B61" s="315"/>
      <c r="C61" s="265" t="s">
        <v>449</v>
      </c>
      <c r="D61" s="30">
        <v>300.51</v>
      </c>
      <c r="E61" s="224">
        <v>4.7699999999999996</v>
      </c>
      <c r="F61" s="129">
        <v>1</v>
      </c>
      <c r="G61" s="37"/>
    </row>
    <row r="62" spans="2:7" ht="25.5" customHeight="1">
      <c r="B62" s="7" t="s">
        <v>51</v>
      </c>
      <c r="C62" s="265"/>
      <c r="D62" s="31">
        <f>SUM(D8:D61)</f>
        <v>40034.289999999994</v>
      </c>
      <c r="E62" s="31">
        <f>SUM(E8:E61)</f>
        <v>224.24999999999997</v>
      </c>
      <c r="F62" s="60">
        <f>SUM(F8:F61)</f>
        <v>103</v>
      </c>
      <c r="G62" s="9"/>
    </row>
    <row r="63" spans="2:7" ht="40.799999999999997" customHeight="1">
      <c r="B63" s="279" t="s">
        <v>52</v>
      </c>
      <c r="C63" s="265" t="s">
        <v>450</v>
      </c>
      <c r="D63" s="30">
        <v>839.82</v>
      </c>
      <c r="E63" s="224">
        <v>25</v>
      </c>
      <c r="F63" s="129">
        <v>16</v>
      </c>
      <c r="G63" s="223" t="s">
        <v>451</v>
      </c>
    </row>
    <row r="64" spans="2:7" ht="40.200000000000003" customHeight="1">
      <c r="B64" s="280"/>
      <c r="C64" s="265" t="s">
        <v>450</v>
      </c>
      <c r="D64" s="30">
        <v>13.64</v>
      </c>
      <c r="E64" s="224">
        <v>4.96</v>
      </c>
      <c r="F64" s="129">
        <v>1</v>
      </c>
      <c r="G64" s="223" t="s">
        <v>451</v>
      </c>
    </row>
    <row r="65" spans="1:10" ht="36" customHeight="1">
      <c r="B65" s="280"/>
      <c r="C65" s="265" t="s">
        <v>452</v>
      </c>
      <c r="D65" s="30">
        <v>32.4</v>
      </c>
      <c r="E65" s="224">
        <v>6.2</v>
      </c>
      <c r="F65" s="129">
        <v>2</v>
      </c>
      <c r="G65" s="223" t="s">
        <v>451</v>
      </c>
    </row>
    <row r="66" spans="1:10" ht="33" customHeight="1">
      <c r="B66" s="280"/>
      <c r="C66" s="265" t="s">
        <v>453</v>
      </c>
      <c r="D66" s="30">
        <v>491.78</v>
      </c>
      <c r="E66" s="224">
        <v>25</v>
      </c>
      <c r="F66" s="129">
        <v>15</v>
      </c>
      <c r="G66" s="223" t="s">
        <v>451</v>
      </c>
    </row>
    <row r="67" spans="1:10" ht="25.5" customHeight="1">
      <c r="B67" s="11" t="s">
        <v>51</v>
      </c>
      <c r="C67" s="11"/>
      <c r="D67" s="31">
        <f>SUM(D63:D66)</f>
        <v>1377.6399999999999</v>
      </c>
      <c r="E67" s="31">
        <f>SUM(E63:E66)</f>
        <v>61.160000000000004</v>
      </c>
      <c r="F67" s="60">
        <f>SUM(F63:F66)</f>
        <v>34</v>
      </c>
      <c r="G67" s="9"/>
      <c r="H67" s="10"/>
      <c r="I67" s="10"/>
      <c r="J67" s="10"/>
    </row>
    <row r="68" spans="1:10" ht="31.5" customHeight="1">
      <c r="B68" s="318" t="s">
        <v>56</v>
      </c>
      <c r="C68" s="318"/>
      <c r="D68" s="318"/>
      <c r="E68" s="318"/>
      <c r="F68" s="318"/>
      <c r="G68" s="319"/>
    </row>
    <row r="69" spans="1:10" ht="53.25" customHeight="1">
      <c r="A69" s="12"/>
      <c r="B69" s="4" t="s">
        <v>4</v>
      </c>
      <c r="C69" s="4" t="s">
        <v>57</v>
      </c>
      <c r="D69" s="4" t="s">
        <v>6</v>
      </c>
      <c r="E69" s="4" t="s">
        <v>58</v>
      </c>
      <c r="F69" s="4" t="s">
        <v>8</v>
      </c>
      <c r="G69" s="5" t="s">
        <v>59</v>
      </c>
    </row>
    <row r="70" spans="1:10" ht="33" customHeight="1">
      <c r="B70" s="13" t="s">
        <v>60</v>
      </c>
      <c r="C70" s="14"/>
      <c r="D70" s="30">
        <v>0</v>
      </c>
      <c r="E70" s="30">
        <v>0</v>
      </c>
      <c r="F70" s="15">
        <v>0</v>
      </c>
      <c r="G70" s="38" t="s">
        <v>73</v>
      </c>
    </row>
    <row r="71" spans="1:10" ht="24.75" customHeight="1">
      <c r="B71" s="17" t="s">
        <v>51</v>
      </c>
      <c r="C71" s="18"/>
      <c r="D71" s="31">
        <f>D70</f>
        <v>0</v>
      </c>
      <c r="E71" s="31">
        <f>E70</f>
        <v>0</v>
      </c>
      <c r="F71" s="264">
        <f>F70</f>
        <v>0</v>
      </c>
      <c r="G71" s="16"/>
    </row>
    <row r="72" spans="1:10" ht="28.5" customHeight="1">
      <c r="B72" s="44" t="s">
        <v>61</v>
      </c>
      <c r="C72" s="266" t="s">
        <v>454</v>
      </c>
      <c r="D72" s="30">
        <v>2560</v>
      </c>
      <c r="E72" s="30">
        <v>2763</v>
      </c>
      <c r="F72" s="15">
        <v>56</v>
      </c>
      <c r="G72" s="16"/>
    </row>
    <row r="73" spans="1:10" ht="29.25" customHeight="1">
      <c r="B73" s="17" t="s">
        <v>51</v>
      </c>
      <c r="C73" s="18"/>
      <c r="D73" s="31">
        <f>SUM(D72)</f>
        <v>2560</v>
      </c>
      <c r="E73" s="31">
        <f>SUM(E72)</f>
        <v>2763</v>
      </c>
      <c r="F73" s="20">
        <f>SUM(F72)</f>
        <v>56</v>
      </c>
      <c r="G73" s="16"/>
    </row>
    <row r="74" spans="1:10" ht="24" customHeight="1">
      <c r="B74" s="13" t="s">
        <v>63</v>
      </c>
      <c r="C74" s="14"/>
      <c r="D74" s="30">
        <v>0</v>
      </c>
      <c r="E74" s="30">
        <v>0</v>
      </c>
      <c r="F74" s="15">
        <v>0</v>
      </c>
      <c r="G74" s="38" t="s">
        <v>73</v>
      </c>
    </row>
    <row r="75" spans="1:10" ht="27" customHeight="1">
      <c r="B75" s="17" t="s">
        <v>51</v>
      </c>
      <c r="C75" s="18"/>
      <c r="D75" s="31">
        <f>D74</f>
        <v>0</v>
      </c>
      <c r="E75" s="31">
        <f>E74</f>
        <v>0</v>
      </c>
      <c r="F75" s="264">
        <f>F74</f>
        <v>0</v>
      </c>
      <c r="G75" s="16"/>
    </row>
    <row r="76" spans="1:10" ht="27" customHeight="1">
      <c r="B76" s="13" t="s">
        <v>65</v>
      </c>
      <c r="C76" s="266" t="s">
        <v>455</v>
      </c>
      <c r="D76" s="55">
        <v>4491</v>
      </c>
      <c r="E76" s="30">
        <v>23172.080000000002</v>
      </c>
      <c r="F76" s="129">
        <v>1</v>
      </c>
      <c r="G76" s="122" t="s">
        <v>456</v>
      </c>
    </row>
    <row r="77" spans="1:10" ht="16.5" customHeight="1">
      <c r="B77" s="17" t="s">
        <v>51</v>
      </c>
      <c r="C77" s="18"/>
      <c r="D77" s="31">
        <f>SUM(D76)</f>
        <v>4491</v>
      </c>
      <c r="E77" s="31">
        <f>SUM(E76)</f>
        <v>23172.080000000002</v>
      </c>
      <c r="F77" s="20">
        <f>SUM(F76)</f>
        <v>1</v>
      </c>
      <c r="G77" s="16"/>
    </row>
    <row r="78" spans="1:10" ht="30.75" customHeight="1">
      <c r="B78" s="13" t="s">
        <v>68</v>
      </c>
      <c r="C78" s="21"/>
      <c r="D78" s="30">
        <v>0</v>
      </c>
      <c r="E78" s="30">
        <v>0</v>
      </c>
      <c r="F78" s="15">
        <v>0</v>
      </c>
      <c r="G78" s="38" t="s">
        <v>73</v>
      </c>
    </row>
    <row r="79" spans="1:10" ht="15.6">
      <c r="B79" s="17" t="s">
        <v>51</v>
      </c>
      <c r="C79" s="18"/>
      <c r="D79" s="31">
        <f>D78</f>
        <v>0</v>
      </c>
      <c r="E79" s="31">
        <f>E78</f>
        <v>0</v>
      </c>
      <c r="F79" s="264">
        <f>F78</f>
        <v>0</v>
      </c>
      <c r="G79" s="16"/>
    </row>
    <row r="80" spans="1:10" ht="17.25" customHeight="1">
      <c r="B80" s="317"/>
      <c r="C80" s="317"/>
      <c r="D80" s="317"/>
      <c r="E80" s="317"/>
      <c r="F80" s="317"/>
      <c r="G80" s="317"/>
    </row>
    <row r="81" spans="2:7" ht="33" customHeight="1">
      <c r="B81" s="11" t="s">
        <v>69</v>
      </c>
      <c r="C81" s="18"/>
      <c r="D81" s="225">
        <f>SUM(D62+D67+D71+D73+D75+D77+D79)</f>
        <v>48462.929999999993</v>
      </c>
      <c r="E81" s="225">
        <f>SUM(E62+E67+E71+E73+E75+E77+E79)</f>
        <v>26220.49</v>
      </c>
      <c r="F81" s="226">
        <f>SUM(F62+F67+F71+F73+F75+F77+F79)</f>
        <v>194</v>
      </c>
      <c r="G81" s="16"/>
    </row>
    <row r="82" spans="2:7">
      <c r="B82" s="22"/>
      <c r="C82" s="23"/>
      <c r="D82" s="23"/>
      <c r="E82" s="23"/>
      <c r="F82" s="23"/>
    </row>
    <row r="83" spans="2:7">
      <c r="B83" s="22"/>
      <c r="C83" s="23"/>
      <c r="D83" s="23"/>
      <c r="E83" s="23"/>
      <c r="F83" s="23"/>
    </row>
    <row r="84" spans="2:7">
      <c r="B84" s="24" t="s">
        <v>299</v>
      </c>
    </row>
    <row r="85" spans="2:7">
      <c r="B85" s="24"/>
    </row>
    <row r="86" spans="2:7">
      <c r="B86" s="25" t="s">
        <v>395</v>
      </c>
    </row>
    <row r="87" spans="2:7">
      <c r="B87" s="25" t="s">
        <v>457</v>
      </c>
    </row>
    <row r="88" spans="2:7">
      <c r="B88" s="25" t="s">
        <v>458</v>
      </c>
    </row>
    <row r="89" spans="2:7">
      <c r="B89" s="26"/>
    </row>
    <row r="90" spans="2:7">
      <c r="B90" t="s">
        <v>167</v>
      </c>
    </row>
    <row r="91" spans="2:7">
      <c r="B91" s="271"/>
      <c r="C91" s="271"/>
      <c r="D91" s="271"/>
    </row>
    <row r="92" spans="2:7">
      <c r="B92" t="s">
        <v>76</v>
      </c>
    </row>
    <row r="93" spans="2:7" ht="15.75" customHeight="1"/>
  </sheetData>
  <mergeCells count="8">
    <mergeCell ref="B80:G80"/>
    <mergeCell ref="B91:D91"/>
    <mergeCell ref="B4:G4"/>
    <mergeCell ref="B5:G5"/>
    <mergeCell ref="B6:G6"/>
    <mergeCell ref="B8:B61"/>
    <mergeCell ref="B63:B66"/>
    <mergeCell ref="B68:G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C132-CF24-461C-A444-74568DDEA3B9}">
  <dimension ref="A1:J78"/>
  <sheetViews>
    <sheetView topLeftCell="A56" zoomScale="110" zoomScaleNormal="110" workbookViewId="0">
      <selection activeCell="G56" sqref="G56"/>
    </sheetView>
  </sheetViews>
  <sheetFormatPr defaultColWidth="9.109375" defaultRowHeight="14.4"/>
  <cols>
    <col min="1" max="1" width="3.44140625" customWidth="1"/>
    <col min="2" max="2" width="45.109375" customWidth="1"/>
    <col min="3" max="3" width="40.44140625" customWidth="1"/>
    <col min="4" max="4" width="16.6640625" customWidth="1"/>
    <col min="5" max="5" width="26" customWidth="1"/>
    <col min="6" max="6" width="15.33203125" customWidth="1"/>
    <col min="7" max="7" width="35.44140625" customWidth="1"/>
  </cols>
  <sheetData>
    <row r="1" spans="2:7" ht="30" customHeight="1">
      <c r="B1" s="62" t="s">
        <v>0</v>
      </c>
    </row>
    <row r="2" spans="2:7" ht="25.5" customHeight="1">
      <c r="B2" s="62" t="s">
        <v>1</v>
      </c>
      <c r="D2" s="63"/>
      <c r="E2" s="63"/>
    </row>
    <row r="3" spans="2:7" ht="12.75" customHeight="1">
      <c r="B3" s="62"/>
      <c r="D3" s="63"/>
      <c r="E3" s="63"/>
    </row>
    <row r="4" spans="2:7" ht="32.25" customHeight="1">
      <c r="B4" s="312" t="s">
        <v>130</v>
      </c>
      <c r="C4" s="312"/>
      <c r="D4" s="312"/>
      <c r="E4" s="312"/>
      <c r="F4" s="312"/>
      <c r="G4" s="312"/>
    </row>
    <row r="5" spans="2:7" ht="31.5" customHeight="1">
      <c r="B5" s="312" t="s">
        <v>131</v>
      </c>
      <c r="C5" s="312"/>
      <c r="D5" s="312"/>
      <c r="E5" s="312"/>
      <c r="F5" s="312"/>
      <c r="G5" s="312"/>
    </row>
    <row r="6" spans="2:7" ht="26.25" customHeight="1">
      <c r="B6" s="313" t="s">
        <v>3</v>
      </c>
      <c r="C6" s="313"/>
      <c r="D6" s="313"/>
      <c r="E6" s="313"/>
      <c r="F6" s="313"/>
      <c r="G6" s="313"/>
    </row>
    <row r="7" spans="2:7" ht="78" customHeight="1">
      <c r="B7" s="64" t="s">
        <v>4</v>
      </c>
      <c r="C7" s="65" t="s">
        <v>5</v>
      </c>
      <c r="D7" s="65" t="s">
        <v>6</v>
      </c>
      <c r="E7" s="65" t="s">
        <v>7</v>
      </c>
      <c r="F7" s="65" t="s">
        <v>8</v>
      </c>
      <c r="G7" s="66" t="s">
        <v>9</v>
      </c>
    </row>
    <row r="8" spans="2:7" ht="25.5" customHeight="1" thickBot="1">
      <c r="B8" s="320" t="s">
        <v>10</v>
      </c>
      <c r="C8" s="321" t="s">
        <v>132</v>
      </c>
      <c r="D8" s="323">
        <f>189+274.05+274.5+302.4+37.8+815.62+167.4+82.35+60.75</f>
        <v>2203.87</v>
      </c>
      <c r="E8" s="98">
        <f>15*0.3</f>
        <v>4.5</v>
      </c>
      <c r="F8" s="105">
        <v>7</v>
      </c>
      <c r="G8" s="96"/>
    </row>
    <row r="9" spans="2:7" ht="33.75" customHeight="1">
      <c r="B9" s="320"/>
      <c r="C9" s="322"/>
      <c r="D9" s="324"/>
      <c r="E9" s="98">
        <f>6*0.3</f>
        <v>1.7999999999999998</v>
      </c>
      <c r="F9" s="105">
        <v>1</v>
      </c>
      <c r="G9" s="96"/>
    </row>
    <row r="10" spans="2:7" ht="41.4">
      <c r="B10" s="320"/>
      <c r="C10" s="96" t="s">
        <v>133</v>
      </c>
      <c r="D10" s="98">
        <f>200+708.75+315+1192.5+380.19+54+617.63+496.8+577.8</f>
        <v>4542.67</v>
      </c>
      <c r="E10" s="98">
        <f>15*0.3</f>
        <v>4.5</v>
      </c>
      <c r="F10" s="105">
        <v>8</v>
      </c>
      <c r="G10" s="96"/>
    </row>
    <row r="11" spans="2:7" ht="41.4">
      <c r="B11" s="320"/>
      <c r="C11" s="96" t="s">
        <v>134</v>
      </c>
      <c r="D11" s="98">
        <f>459.9+153+90.3+225.9</f>
        <v>929.09999999999991</v>
      </c>
      <c r="E11" s="98">
        <f>10*0.3</f>
        <v>3</v>
      </c>
      <c r="F11" s="105">
        <v>3</v>
      </c>
      <c r="G11" s="96"/>
    </row>
    <row r="12" spans="2:7" ht="25.5" customHeight="1" thickBot="1">
      <c r="B12" s="320"/>
      <c r="C12" s="325" t="s">
        <v>135</v>
      </c>
      <c r="D12" s="327">
        <f>65.1+338.1+558.6+294.84+390.6+18+141.75+180+189+111.24</f>
        <v>2287.23</v>
      </c>
      <c r="E12" s="98">
        <f>10*0.3</f>
        <v>3</v>
      </c>
      <c r="F12" s="105">
        <v>7</v>
      </c>
      <c r="G12" s="96"/>
    </row>
    <row r="13" spans="2:7">
      <c r="B13" s="320"/>
      <c r="C13" s="326"/>
      <c r="D13" s="328"/>
      <c r="E13" s="98">
        <f>6*0.3</f>
        <v>1.7999999999999998</v>
      </c>
      <c r="F13" s="105">
        <v>2</v>
      </c>
      <c r="G13" s="96"/>
    </row>
    <row r="14" spans="2:7" ht="25.5" customHeight="1" thickBot="1">
      <c r="B14" s="320"/>
      <c r="C14" s="325" t="s">
        <v>136</v>
      </c>
      <c r="D14" s="327">
        <f>157.5+63+78.75+22.32+96.6+781.2+202.5+66.6+83.7+45.9+27.9+32.63+457.5</f>
        <v>2116.1000000000004</v>
      </c>
      <c r="E14" s="98">
        <f>10*0.3</f>
        <v>3</v>
      </c>
      <c r="F14" s="105">
        <v>9</v>
      </c>
      <c r="G14" s="96"/>
    </row>
    <row r="15" spans="2:7" ht="15" thickBot="1">
      <c r="B15" s="320"/>
      <c r="C15" s="329"/>
      <c r="D15" s="330"/>
      <c r="E15" s="98">
        <v>6</v>
      </c>
      <c r="F15" s="105">
        <v>2</v>
      </c>
      <c r="G15" s="101"/>
    </row>
    <row r="16" spans="2:7" ht="15" thickBot="1">
      <c r="B16" s="320"/>
      <c r="C16" s="329"/>
      <c r="D16" s="330"/>
      <c r="E16" s="98">
        <f>6*0.3</f>
        <v>1.7999999999999998</v>
      </c>
      <c r="F16" s="105">
        <v>1</v>
      </c>
      <c r="G16" s="96"/>
    </row>
    <row r="17" spans="2:7" ht="30.75" customHeight="1">
      <c r="B17" s="320"/>
      <c r="C17" s="326"/>
      <c r="D17" s="328"/>
      <c r="E17" s="106">
        <v>15</v>
      </c>
      <c r="F17" s="267">
        <v>1</v>
      </c>
      <c r="G17" s="104"/>
    </row>
    <row r="18" spans="2:7" ht="38.25" customHeight="1" thickBot="1">
      <c r="B18" s="320"/>
      <c r="C18" s="331" t="s">
        <v>137</v>
      </c>
      <c r="D18" s="327">
        <f>37.8+35.1+55.8+17.28+180+21.6+34.02+22.68+405</f>
        <v>809.28</v>
      </c>
      <c r="E18" s="98">
        <f>6*0.3</f>
        <v>1.7999999999999998</v>
      </c>
      <c r="F18" s="105">
        <v>7</v>
      </c>
      <c r="G18" s="96"/>
    </row>
    <row r="19" spans="2:7" ht="36.75" customHeight="1">
      <c r="B19" s="320"/>
      <c r="C19" s="332"/>
      <c r="D19" s="328"/>
      <c r="E19" s="106">
        <v>15</v>
      </c>
      <c r="F19" s="267">
        <v>1</v>
      </c>
      <c r="G19" s="104"/>
    </row>
    <row r="20" spans="2:7" ht="38.25" customHeight="1" thickBot="1">
      <c r="B20" s="320"/>
      <c r="C20" s="325" t="s">
        <v>138</v>
      </c>
      <c r="D20" s="327">
        <f>40.2+81.9+142.8+153-4.32+1505.7+88.2+69.3+135+29.7+36+85.05+565.2+52.2+22.68+102.6</f>
        <v>3105.21</v>
      </c>
      <c r="E20" s="108">
        <f>10*0.3</f>
        <v>3</v>
      </c>
      <c r="F20" s="268">
        <v>11</v>
      </c>
      <c r="G20" s="102"/>
    </row>
    <row r="21" spans="2:7" ht="38.25" customHeight="1" thickBot="1">
      <c r="B21" s="320"/>
      <c r="C21" s="329"/>
      <c r="D21" s="330"/>
      <c r="E21" s="98">
        <f>6*0.3</f>
        <v>1.7999999999999998</v>
      </c>
      <c r="F21" s="105">
        <v>1</v>
      </c>
      <c r="G21" s="96"/>
    </row>
    <row r="22" spans="2:7" ht="41.25" customHeight="1">
      <c r="B22" s="320"/>
      <c r="C22" s="326"/>
      <c r="D22" s="328"/>
      <c r="E22" s="106">
        <v>15</v>
      </c>
      <c r="F22" s="267">
        <v>1</v>
      </c>
      <c r="G22" s="104"/>
    </row>
    <row r="23" spans="2:7" ht="25.5" customHeight="1" thickBot="1">
      <c r="B23" s="320"/>
      <c r="C23" s="325" t="s">
        <v>139</v>
      </c>
      <c r="D23" s="327">
        <f>130.2+23.76+210+59.92+22.68</f>
        <v>446.56</v>
      </c>
      <c r="E23" s="98">
        <f>10*0.3</f>
        <v>3</v>
      </c>
      <c r="F23" s="105">
        <v>1</v>
      </c>
      <c r="G23" s="96"/>
    </row>
    <row r="24" spans="2:7" ht="15" thickBot="1">
      <c r="B24" s="320"/>
      <c r="C24" s="329"/>
      <c r="D24" s="330"/>
      <c r="E24" s="98">
        <v>6</v>
      </c>
      <c r="F24" s="105">
        <v>2</v>
      </c>
      <c r="G24" s="101"/>
    </row>
    <row r="25" spans="2:7">
      <c r="B25" s="320"/>
      <c r="C25" s="326"/>
      <c r="D25" s="328"/>
      <c r="E25" s="106">
        <f>6*0.3</f>
        <v>1.7999999999999998</v>
      </c>
      <c r="F25" s="267">
        <v>2</v>
      </c>
      <c r="G25" s="96"/>
    </row>
    <row r="26" spans="2:7" ht="55.5" customHeight="1">
      <c r="B26" s="320"/>
      <c r="C26" s="96" t="s">
        <v>140</v>
      </c>
      <c r="D26" s="98">
        <f>204.12+13.25</f>
        <v>217.37</v>
      </c>
      <c r="E26" s="98">
        <f>6*0.3</f>
        <v>1.7999999999999998</v>
      </c>
      <c r="F26" s="105">
        <v>2</v>
      </c>
      <c r="G26" s="96"/>
    </row>
    <row r="27" spans="2:7" ht="25.5" customHeight="1" thickBot="1">
      <c r="B27" s="320"/>
      <c r="C27" s="325" t="s">
        <v>141</v>
      </c>
      <c r="D27" s="327">
        <f>764.82+120+18</f>
        <v>902.82</v>
      </c>
      <c r="E27" s="98">
        <f>10*0.3</f>
        <v>3</v>
      </c>
      <c r="F27" s="105">
        <v>3</v>
      </c>
      <c r="G27" s="96"/>
    </row>
    <row r="28" spans="2:7" ht="40.5" customHeight="1">
      <c r="B28" s="320"/>
      <c r="C28" s="326"/>
      <c r="D28" s="328"/>
      <c r="E28" s="98">
        <f>6*0.3</f>
        <v>1.7999999999999998</v>
      </c>
      <c r="F28" s="59">
        <v>1</v>
      </c>
      <c r="G28" s="96"/>
    </row>
    <row r="29" spans="2:7" ht="63" customHeight="1">
      <c r="B29" s="320"/>
      <c r="C29" s="96" t="s">
        <v>142</v>
      </c>
      <c r="D29" s="98">
        <f>51.3+324+552.3+119.7+193.2+147+171.6+27+750+66+245.7+108+459</f>
        <v>3214.7999999999997</v>
      </c>
      <c r="E29" s="98">
        <f>10*0.3</f>
        <v>3</v>
      </c>
      <c r="F29" s="105">
        <v>9</v>
      </c>
      <c r="G29" s="96"/>
    </row>
    <row r="30" spans="2:7" ht="41.4">
      <c r="B30" s="320"/>
      <c r="C30" s="96" t="s">
        <v>143</v>
      </c>
      <c r="D30" s="98">
        <f>283.5+198.45+1286.33+1275.75+101+125.55+604.13+546.75</f>
        <v>4421.46</v>
      </c>
      <c r="E30" s="98">
        <f>15*0.3</f>
        <v>4.5</v>
      </c>
      <c r="F30" s="105">
        <v>8</v>
      </c>
      <c r="G30" s="96"/>
    </row>
    <row r="31" spans="2:7" ht="25.5" customHeight="1" thickBot="1">
      <c r="B31" s="320"/>
      <c r="C31" s="325" t="s">
        <v>144</v>
      </c>
      <c r="D31" s="327">
        <f>1140.3+120+70.56+32.76+360+28.08+17.28</f>
        <v>1768.9799999999998</v>
      </c>
      <c r="E31" s="98">
        <f>10*0.3</f>
        <v>3</v>
      </c>
      <c r="F31" s="105">
        <v>3</v>
      </c>
      <c r="G31" s="96"/>
    </row>
    <row r="32" spans="2:7">
      <c r="B32" s="320"/>
      <c r="C32" s="326"/>
      <c r="D32" s="328"/>
      <c r="E32" s="106">
        <f>6*0.3</f>
        <v>1.7999999999999998</v>
      </c>
      <c r="F32" s="267">
        <v>4</v>
      </c>
      <c r="G32" s="96"/>
    </row>
    <row r="33" spans="2:10" ht="39" customHeight="1" thickBot="1">
      <c r="B33" s="320"/>
      <c r="C33" s="325" t="s">
        <v>145</v>
      </c>
      <c r="D33" s="327">
        <f>37.8+36.54+126+180+75.6+16.2</f>
        <v>472.14000000000004</v>
      </c>
      <c r="E33" s="108">
        <f>6*0.3</f>
        <v>1.7999999999999998</v>
      </c>
      <c r="F33" s="268">
        <v>5</v>
      </c>
      <c r="G33" s="102"/>
    </row>
    <row r="34" spans="2:10" ht="33.75" customHeight="1">
      <c r="B34" s="320"/>
      <c r="C34" s="326"/>
      <c r="D34" s="328"/>
      <c r="E34" s="106">
        <v>15</v>
      </c>
      <c r="F34" s="267">
        <v>1</v>
      </c>
      <c r="G34" s="104"/>
    </row>
    <row r="35" spans="2:10" ht="25.5" customHeight="1" thickBot="1">
      <c r="B35" s="320"/>
      <c r="C35" s="325" t="s">
        <v>146</v>
      </c>
      <c r="D35" s="327">
        <f>63-18.6+75.6+285.6+79.32+373.5+126+78.3+30.6</f>
        <v>1093.32</v>
      </c>
      <c r="E35" s="98">
        <f>10*0.3</f>
        <v>3</v>
      </c>
      <c r="F35" s="105">
        <v>4</v>
      </c>
      <c r="G35" s="96"/>
    </row>
    <row r="36" spans="2:10" ht="15" thickBot="1">
      <c r="B36" s="320"/>
      <c r="C36" s="329"/>
      <c r="D36" s="330"/>
      <c r="E36" s="98">
        <v>6</v>
      </c>
      <c r="F36" s="105">
        <v>4</v>
      </c>
      <c r="G36" s="101"/>
    </row>
    <row r="37" spans="2:10">
      <c r="B37" s="320"/>
      <c r="C37" s="326"/>
      <c r="D37" s="328"/>
      <c r="E37" s="98">
        <f>6*0.3</f>
        <v>1.7999999999999998</v>
      </c>
      <c r="F37" s="105">
        <v>1</v>
      </c>
      <c r="G37" s="96"/>
    </row>
    <row r="38" spans="2:10" ht="55.2">
      <c r="B38" s="320"/>
      <c r="C38" s="96" t="s">
        <v>147</v>
      </c>
      <c r="D38" s="98">
        <f>40.8+78.75+54.6+29.7+48.6</f>
        <v>252.45</v>
      </c>
      <c r="E38" s="98">
        <f>6*0.3</f>
        <v>1.7999999999999998</v>
      </c>
      <c r="F38" s="105">
        <v>5</v>
      </c>
      <c r="G38" s="96"/>
    </row>
    <row r="39" spans="2:10" ht="41.4">
      <c r="B39" s="320"/>
      <c r="C39" s="96" t="s">
        <v>148</v>
      </c>
      <c r="D39" s="98">
        <f>58.59+78.3+37.8+97.65+16.2+41.18+51.03</f>
        <v>380.75</v>
      </c>
      <c r="E39" s="98">
        <f>6*0.3</f>
        <v>1.7999999999999998</v>
      </c>
      <c r="F39" s="105">
        <v>6</v>
      </c>
      <c r="G39" s="96"/>
    </row>
    <row r="40" spans="2:10" ht="25.5" customHeight="1" thickBot="1">
      <c r="B40" s="320"/>
      <c r="C40" s="325" t="s">
        <v>149</v>
      </c>
      <c r="D40" s="327">
        <f>63+286.65+23.76+210+82.35</f>
        <v>665.76</v>
      </c>
      <c r="E40" s="98">
        <f>10*0.3</f>
        <v>3</v>
      </c>
      <c r="F40" s="105">
        <v>3</v>
      </c>
      <c r="G40" s="96"/>
    </row>
    <row r="41" spans="2:10" ht="15" thickBot="1">
      <c r="B41" s="320"/>
      <c r="C41" s="329"/>
      <c r="D41" s="330"/>
      <c r="E41" s="98">
        <v>6</v>
      </c>
      <c r="F41" s="105">
        <v>1</v>
      </c>
      <c r="G41" s="103"/>
    </row>
    <row r="42" spans="2:10">
      <c r="B42" s="320"/>
      <c r="C42" s="326"/>
      <c r="D42" s="328"/>
      <c r="E42" s="98">
        <f>6*0.3</f>
        <v>1.7999999999999998</v>
      </c>
      <c r="F42" s="105">
        <v>1</v>
      </c>
      <c r="G42" s="96"/>
    </row>
    <row r="43" spans="2:10" ht="63" customHeight="1">
      <c r="B43" s="320"/>
      <c r="C43" s="104" t="s">
        <v>150</v>
      </c>
      <c r="D43" s="106">
        <f>158.1+280.35+63+84+16.5+33.75+47.7+121.5</f>
        <v>804.90000000000009</v>
      </c>
      <c r="E43" s="106">
        <f>10*0.3</f>
        <v>3</v>
      </c>
      <c r="F43" s="267">
        <v>8</v>
      </c>
      <c r="G43" s="104"/>
    </row>
    <row r="44" spans="2:10" ht="25.5" customHeight="1">
      <c r="B44" s="67" t="s">
        <v>51</v>
      </c>
      <c r="C44" s="6"/>
      <c r="D44" s="93">
        <f>SUM(D8:D43)</f>
        <v>30634.769999999997</v>
      </c>
      <c r="E44" s="93">
        <f>SUM(E8:E43)</f>
        <v>155.70000000000005</v>
      </c>
      <c r="F44" s="68">
        <f>SUM(F8:F43)</f>
        <v>136</v>
      </c>
      <c r="G44" s="69"/>
    </row>
    <row r="45" spans="2:10" ht="36" customHeight="1">
      <c r="B45" s="315" t="s">
        <v>52</v>
      </c>
      <c r="C45" s="70" t="s">
        <v>151</v>
      </c>
      <c r="D45" s="94">
        <v>132.4</v>
      </c>
      <c r="E45" s="95">
        <v>25</v>
      </c>
      <c r="F45" s="71">
        <v>5</v>
      </c>
      <c r="G45" s="118" t="s">
        <v>152</v>
      </c>
    </row>
    <row r="46" spans="2:10" ht="41.25" customHeight="1">
      <c r="B46" s="315"/>
      <c r="C46" s="115" t="s">
        <v>153</v>
      </c>
      <c r="D46" s="116">
        <v>278.5</v>
      </c>
      <c r="E46" s="95">
        <v>37</v>
      </c>
      <c r="F46" s="71">
        <v>1</v>
      </c>
      <c r="G46" s="119" t="s">
        <v>152</v>
      </c>
    </row>
    <row r="47" spans="2:10" ht="37.5" customHeight="1">
      <c r="B47" s="315"/>
      <c r="C47" s="8" t="s">
        <v>154</v>
      </c>
      <c r="D47" s="94">
        <v>187.5</v>
      </c>
      <c r="E47" s="95">
        <v>37</v>
      </c>
      <c r="F47" s="71">
        <v>5</v>
      </c>
      <c r="G47" s="119" t="s">
        <v>152</v>
      </c>
      <c r="H47" s="72"/>
      <c r="I47" s="72"/>
      <c r="J47" s="72"/>
    </row>
    <row r="48" spans="2:10" ht="25.5" customHeight="1">
      <c r="B48" s="73" t="s">
        <v>51</v>
      </c>
      <c r="C48" s="74"/>
      <c r="D48" s="97">
        <f>SUM(D45:D47)</f>
        <v>598.4</v>
      </c>
      <c r="E48" s="97">
        <f>SUM(E45:E47)</f>
        <v>99</v>
      </c>
      <c r="F48" s="75">
        <f>SUM(F45:F47)</f>
        <v>11</v>
      </c>
      <c r="G48" s="76"/>
      <c r="H48" s="72"/>
      <c r="I48" s="72"/>
      <c r="J48" s="72"/>
    </row>
    <row r="49" spans="1:7" ht="31.5" customHeight="1">
      <c r="B49" s="316" t="s">
        <v>56</v>
      </c>
      <c r="C49" s="316"/>
      <c r="D49" s="316"/>
      <c r="E49" s="316"/>
      <c r="F49" s="316"/>
      <c r="G49" s="316"/>
    </row>
    <row r="50" spans="1:7" ht="53.25" customHeight="1">
      <c r="A50" s="12"/>
      <c r="B50" s="77" t="s">
        <v>4</v>
      </c>
      <c r="C50" s="77" t="s">
        <v>57</v>
      </c>
      <c r="D50" s="77" t="s">
        <v>6</v>
      </c>
      <c r="E50" s="77" t="s">
        <v>58</v>
      </c>
      <c r="F50" s="77" t="s">
        <v>8</v>
      </c>
      <c r="G50" s="78" t="s">
        <v>59</v>
      </c>
    </row>
    <row r="51" spans="1:7" ht="33" customHeight="1">
      <c r="B51" s="13" t="s">
        <v>60</v>
      </c>
      <c r="C51" s="79" t="s">
        <v>155</v>
      </c>
      <c r="D51" s="94">
        <v>882</v>
      </c>
      <c r="E51" s="94">
        <v>1764</v>
      </c>
      <c r="F51" s="80">
        <v>1</v>
      </c>
      <c r="G51" s="120"/>
    </row>
    <row r="52" spans="1:7" ht="24.75" customHeight="1">
      <c r="B52" s="87" t="s">
        <v>51</v>
      </c>
      <c r="C52" s="88"/>
      <c r="D52" s="97">
        <f>SUM(D51:D51)</f>
        <v>882</v>
      </c>
      <c r="E52" s="97">
        <f>SUM(E51:E51)</f>
        <v>1764</v>
      </c>
      <c r="F52" s="75">
        <f>SUM(F51:F51)</f>
        <v>1</v>
      </c>
      <c r="G52" s="120"/>
    </row>
    <row r="53" spans="1:7" ht="28.5" customHeight="1">
      <c r="B53" s="274" t="s">
        <v>61</v>
      </c>
      <c r="C53" s="81" t="s">
        <v>156</v>
      </c>
      <c r="D53" s="82">
        <v>795</v>
      </c>
      <c r="E53" s="83">
        <v>840</v>
      </c>
      <c r="F53" s="84">
        <v>18</v>
      </c>
      <c r="G53" s="121"/>
    </row>
    <row r="54" spans="1:7" ht="28.5" customHeight="1">
      <c r="B54" s="274"/>
      <c r="C54" s="79" t="s">
        <v>157</v>
      </c>
      <c r="D54" s="85">
        <v>2322</v>
      </c>
      <c r="E54" s="86">
        <v>2376</v>
      </c>
      <c r="F54" s="80">
        <v>66</v>
      </c>
      <c r="G54" s="120" t="s">
        <v>158</v>
      </c>
    </row>
    <row r="55" spans="1:7" ht="28.5" customHeight="1">
      <c r="B55" s="274"/>
      <c r="C55" s="79" t="s">
        <v>159</v>
      </c>
      <c r="D55" s="85">
        <v>960</v>
      </c>
      <c r="E55" s="86">
        <v>960</v>
      </c>
      <c r="F55" s="80">
        <v>20</v>
      </c>
      <c r="G55" s="120"/>
    </row>
    <row r="56" spans="1:7" ht="28.5" customHeight="1">
      <c r="B56" s="274"/>
      <c r="C56" s="79" t="s">
        <v>160</v>
      </c>
      <c r="D56" s="85">
        <v>547.5</v>
      </c>
      <c r="E56" s="86">
        <v>650</v>
      </c>
      <c r="F56" s="80">
        <v>10</v>
      </c>
      <c r="G56" s="122"/>
    </row>
    <row r="57" spans="1:7" ht="42.75" customHeight="1">
      <c r="B57" s="274"/>
      <c r="C57" s="79" t="s">
        <v>161</v>
      </c>
      <c r="D57" s="94">
        <v>0</v>
      </c>
      <c r="E57" s="98">
        <v>0</v>
      </c>
      <c r="F57" s="80">
        <v>0</v>
      </c>
      <c r="G57" s="122" t="s">
        <v>162</v>
      </c>
    </row>
    <row r="58" spans="1:7" ht="29.25" customHeight="1">
      <c r="B58" s="87" t="s">
        <v>51</v>
      </c>
      <c r="C58" s="107"/>
      <c r="D58" s="97">
        <f>SUM(D53:D57)</f>
        <v>4624.5</v>
      </c>
      <c r="E58" s="97">
        <f>SUM(E53:E57)</f>
        <v>4826</v>
      </c>
      <c r="F58" s="75">
        <f>SUM(F53:F57)</f>
        <v>114</v>
      </c>
      <c r="G58" s="120"/>
    </row>
    <row r="59" spans="1:7" ht="24" customHeight="1">
      <c r="B59" s="49" t="s">
        <v>63</v>
      </c>
      <c r="C59" s="81"/>
      <c r="D59" s="99">
        <v>0</v>
      </c>
      <c r="E59" s="99">
        <v>0</v>
      </c>
      <c r="F59" s="117">
        <v>0</v>
      </c>
      <c r="G59" s="123" t="s">
        <v>73</v>
      </c>
    </row>
    <row r="60" spans="1:7" ht="27" customHeight="1">
      <c r="B60" s="87" t="s">
        <v>51</v>
      </c>
      <c r="C60" s="88"/>
      <c r="D60" s="93">
        <f>SUM(D59:D59)</f>
        <v>0</v>
      </c>
      <c r="E60" s="93">
        <f>SUM(E59:E59)</f>
        <v>0</v>
      </c>
      <c r="F60" s="68">
        <f>SUM(F59:F59)</f>
        <v>0</v>
      </c>
      <c r="G60" s="120"/>
    </row>
    <row r="61" spans="1:7" ht="27" customHeight="1">
      <c r="B61" s="13" t="s">
        <v>65</v>
      </c>
      <c r="C61" s="88"/>
      <c r="D61" s="94">
        <v>0</v>
      </c>
      <c r="E61" s="94">
        <v>0</v>
      </c>
      <c r="F61" s="80">
        <v>0</v>
      </c>
      <c r="G61" s="123" t="s">
        <v>73</v>
      </c>
    </row>
    <row r="62" spans="1:7" ht="16.5" customHeight="1">
      <c r="B62" s="87" t="s">
        <v>51</v>
      </c>
      <c r="C62" s="88"/>
      <c r="D62" s="93">
        <f>SUM(D61:D61)</f>
        <v>0</v>
      </c>
      <c r="E62" s="93">
        <f>SUM(E61:E61)</f>
        <v>0</v>
      </c>
      <c r="F62" s="68">
        <f>SUM(F61:F61)</f>
        <v>0</v>
      </c>
      <c r="G62" s="120"/>
    </row>
    <row r="63" spans="1:7" ht="30.75" customHeight="1">
      <c r="B63" s="13" t="s">
        <v>68</v>
      </c>
      <c r="C63" s="89"/>
      <c r="D63" s="94">
        <v>0</v>
      </c>
      <c r="E63" s="94">
        <v>0</v>
      </c>
      <c r="F63" s="80">
        <v>0</v>
      </c>
      <c r="G63" s="123" t="s">
        <v>73</v>
      </c>
    </row>
    <row r="64" spans="1:7" ht="15.6">
      <c r="B64" s="87" t="s">
        <v>51</v>
      </c>
      <c r="C64" s="88"/>
      <c r="D64" s="93">
        <f>SUM(D63:D63)</f>
        <v>0</v>
      </c>
      <c r="E64" s="93">
        <f>SUM(E63:E63)</f>
        <v>0</v>
      </c>
      <c r="F64" s="68">
        <f>SUM(F63:F63)</f>
        <v>0</v>
      </c>
      <c r="G64" s="120"/>
    </row>
    <row r="65" spans="2:7" ht="17.25" customHeight="1">
      <c r="B65" s="333"/>
      <c r="C65" s="333"/>
      <c r="D65" s="333"/>
      <c r="E65" s="333"/>
      <c r="F65" s="333"/>
      <c r="G65" s="333"/>
    </row>
    <row r="66" spans="2:7" ht="33" customHeight="1">
      <c r="B66" s="87" t="s">
        <v>163</v>
      </c>
      <c r="C66" s="88"/>
      <c r="D66" s="100">
        <f>SUM(D44+D48+D52+D58+D60+D62+D64)</f>
        <v>36739.67</v>
      </c>
      <c r="E66" s="100">
        <f>SUM(E44+E48+E52+E58+E60+E62+E64)</f>
        <v>6844.7</v>
      </c>
      <c r="F66" s="90">
        <f>SUM(F44+F48+F52+F58+F60+F62+F64)</f>
        <v>262</v>
      </c>
      <c r="G66" s="16"/>
    </row>
    <row r="67" spans="2:7">
      <c r="B67" s="22"/>
      <c r="C67" s="23"/>
      <c r="D67" s="23"/>
      <c r="E67" s="23"/>
      <c r="F67" s="23"/>
    </row>
    <row r="68" spans="2:7" ht="15" customHeight="1">
      <c r="B68" s="22"/>
      <c r="C68" s="23"/>
      <c r="D68" s="23"/>
      <c r="E68" s="23"/>
      <c r="F68" s="23"/>
    </row>
    <row r="69" spans="2:7">
      <c r="B69" s="24" t="s">
        <v>164</v>
      </c>
    </row>
    <row r="70" spans="2:7">
      <c r="B70" s="24"/>
    </row>
    <row r="71" spans="2:7" ht="15" customHeight="1">
      <c r="B71" s="25" t="s">
        <v>75</v>
      </c>
    </row>
    <row r="72" spans="2:7">
      <c r="B72" s="25" t="s">
        <v>165</v>
      </c>
    </row>
    <row r="73" spans="2:7" ht="38.25" customHeight="1">
      <c r="B73" s="25" t="s">
        <v>166</v>
      </c>
    </row>
    <row r="74" spans="2:7">
      <c r="B74" s="26"/>
    </row>
    <row r="75" spans="2:7">
      <c r="B75" t="s">
        <v>167</v>
      </c>
    </row>
    <row r="76" spans="2:7">
      <c r="B76" s="271"/>
      <c r="C76" s="271"/>
      <c r="D76" s="271"/>
    </row>
    <row r="77" spans="2:7">
      <c r="B77" s="91" t="s">
        <v>76</v>
      </c>
      <c r="C77" s="91"/>
    </row>
    <row r="78" spans="2:7" ht="15.75" customHeight="1"/>
  </sheetData>
  <mergeCells count="31">
    <mergeCell ref="B53:B57"/>
    <mergeCell ref="B65:G65"/>
    <mergeCell ref="B76:D76"/>
    <mergeCell ref="C35:C37"/>
    <mergeCell ref="D35:D37"/>
    <mergeCell ref="C40:C42"/>
    <mergeCell ref="D40:D42"/>
    <mergeCell ref="B45:B47"/>
    <mergeCell ref="B49:G49"/>
    <mergeCell ref="C27:C28"/>
    <mergeCell ref="D27:D28"/>
    <mergeCell ref="C31:C32"/>
    <mergeCell ref="D31:D32"/>
    <mergeCell ref="C33:C34"/>
    <mergeCell ref="D33:D34"/>
    <mergeCell ref="B4:G4"/>
    <mergeCell ref="B5:G5"/>
    <mergeCell ref="B6:G6"/>
    <mergeCell ref="B8:B43"/>
    <mergeCell ref="C8:C9"/>
    <mergeCell ref="D8:D9"/>
    <mergeCell ref="C12:C13"/>
    <mergeCell ref="D12:D13"/>
    <mergeCell ref="C14:C17"/>
    <mergeCell ref="D14:D17"/>
    <mergeCell ref="C18:C19"/>
    <mergeCell ref="D18:D19"/>
    <mergeCell ref="C20:C22"/>
    <mergeCell ref="D20:D22"/>
    <mergeCell ref="C23:C25"/>
    <mergeCell ref="D23:D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89A2-3C77-45E4-955F-E84719B472C4}">
  <dimension ref="B1:P119"/>
  <sheetViews>
    <sheetView topLeftCell="A100" workbookViewId="0">
      <selection activeCell="G103" sqref="G103"/>
    </sheetView>
  </sheetViews>
  <sheetFormatPr defaultColWidth="9.109375" defaultRowHeight="14.4"/>
  <cols>
    <col min="1" max="1" width="3.44140625" customWidth="1"/>
    <col min="2" max="2" width="38" customWidth="1"/>
    <col min="3" max="3" width="33.88671875" customWidth="1"/>
    <col min="4" max="4" width="16.6640625" customWidth="1"/>
    <col min="5" max="5" width="18.33203125" customWidth="1"/>
    <col min="6" max="6" width="12.21875" customWidth="1"/>
    <col min="7" max="7" width="45.44140625" customWidth="1"/>
    <col min="8" max="8" width="16" customWidth="1"/>
  </cols>
  <sheetData>
    <row r="1" spans="2:9" ht="30" customHeight="1">
      <c r="B1" s="62" t="s">
        <v>0</v>
      </c>
    </row>
    <row r="2" spans="2:9" ht="25.5" customHeight="1">
      <c r="B2" s="62" t="s">
        <v>1</v>
      </c>
      <c r="D2" s="63"/>
      <c r="E2" s="63"/>
    </row>
    <row r="3" spans="2:9" ht="12.75" customHeight="1">
      <c r="B3" s="62"/>
      <c r="D3" s="63"/>
      <c r="E3" s="63"/>
    </row>
    <row r="4" spans="2:9" ht="32.25" customHeight="1">
      <c r="B4" s="335" t="s">
        <v>78</v>
      </c>
      <c r="C4" s="335"/>
      <c r="D4" s="335"/>
      <c r="E4" s="335"/>
      <c r="F4" s="335"/>
      <c r="G4" s="335"/>
    </row>
    <row r="5" spans="2:9" ht="31.5" customHeight="1">
      <c r="B5" s="312" t="s">
        <v>300</v>
      </c>
      <c r="C5" s="312"/>
      <c r="D5" s="312"/>
      <c r="E5" s="312"/>
      <c r="F5" s="312"/>
      <c r="G5" s="312"/>
    </row>
    <row r="6" spans="2:9" ht="26.25" customHeight="1">
      <c r="B6" s="336" t="s">
        <v>3</v>
      </c>
      <c r="C6" s="336"/>
      <c r="D6" s="336"/>
      <c r="E6" s="336"/>
      <c r="F6" s="336"/>
      <c r="G6" s="336"/>
    </row>
    <row r="7" spans="2:9" ht="79.2" customHeight="1">
      <c r="B7" s="210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4" t="s">
        <v>9</v>
      </c>
      <c r="I7" s="211"/>
    </row>
    <row r="8" spans="2:9" ht="31.5" customHeight="1">
      <c r="B8" s="337" t="s">
        <v>10</v>
      </c>
      <c r="C8" s="8" t="s">
        <v>301</v>
      </c>
      <c r="D8" s="30">
        <v>1084.92</v>
      </c>
      <c r="E8" s="146">
        <v>10</v>
      </c>
      <c r="F8" s="220">
        <v>10</v>
      </c>
      <c r="G8" s="78"/>
      <c r="I8" s="212"/>
    </row>
    <row r="9" spans="2:9" ht="31.5" customHeight="1">
      <c r="B9" s="337"/>
      <c r="C9" s="8" t="s">
        <v>302</v>
      </c>
      <c r="D9" s="30">
        <v>128.22999999999999</v>
      </c>
      <c r="E9" s="146">
        <v>6</v>
      </c>
      <c r="F9" s="220">
        <v>5</v>
      </c>
      <c r="G9" s="78"/>
      <c r="I9" s="212"/>
    </row>
    <row r="10" spans="2:9" ht="31.5" customHeight="1">
      <c r="B10" s="337"/>
      <c r="C10" s="70" t="s">
        <v>303</v>
      </c>
      <c r="D10" s="30">
        <v>490.62</v>
      </c>
      <c r="E10" s="146">
        <v>10</v>
      </c>
      <c r="F10" s="220">
        <v>5</v>
      </c>
      <c r="G10" s="78"/>
    </row>
    <row r="11" spans="2:9" ht="31.5" customHeight="1">
      <c r="B11" s="337"/>
      <c r="C11" s="70" t="s">
        <v>304</v>
      </c>
      <c r="D11" s="30">
        <v>112.5</v>
      </c>
      <c r="E11" s="146">
        <v>6</v>
      </c>
      <c r="F11" s="220">
        <v>1</v>
      </c>
      <c r="G11" s="78"/>
    </row>
    <row r="12" spans="2:9" ht="31.5" customHeight="1">
      <c r="B12" s="337"/>
      <c r="C12" s="8" t="s">
        <v>305</v>
      </c>
      <c r="D12" s="146">
        <v>2611.08</v>
      </c>
      <c r="E12" s="146">
        <v>10</v>
      </c>
      <c r="F12" s="80">
        <v>10</v>
      </c>
      <c r="G12" s="78"/>
    </row>
    <row r="13" spans="2:9" ht="31.5" customHeight="1">
      <c r="B13" s="337"/>
      <c r="C13" s="8" t="s">
        <v>306</v>
      </c>
      <c r="D13" s="146">
        <v>0</v>
      </c>
      <c r="E13" s="146">
        <v>6</v>
      </c>
      <c r="F13" s="80">
        <v>0</v>
      </c>
      <c r="G13" s="154" t="s">
        <v>73</v>
      </c>
    </row>
    <row r="14" spans="2:9" ht="31.5" customHeight="1">
      <c r="B14" s="337"/>
      <c r="C14" s="8" t="s">
        <v>307</v>
      </c>
      <c r="D14" s="30">
        <v>1893.09</v>
      </c>
      <c r="E14" s="146">
        <v>10</v>
      </c>
      <c r="F14" s="220">
        <v>13</v>
      </c>
      <c r="G14" s="78"/>
    </row>
    <row r="15" spans="2:9" ht="31.5" customHeight="1">
      <c r="B15" s="337"/>
      <c r="C15" s="8" t="s">
        <v>308</v>
      </c>
      <c r="D15" s="30">
        <v>1749.78</v>
      </c>
      <c r="E15" s="146">
        <v>6</v>
      </c>
      <c r="F15" s="220">
        <v>10</v>
      </c>
      <c r="G15" s="78"/>
    </row>
    <row r="16" spans="2:9" ht="31.5" customHeight="1">
      <c r="B16" s="337"/>
      <c r="C16" s="8" t="s">
        <v>309</v>
      </c>
      <c r="D16" s="30">
        <v>35.4</v>
      </c>
      <c r="E16" s="146">
        <v>10</v>
      </c>
      <c r="F16" s="220">
        <v>1</v>
      </c>
      <c r="G16" s="78"/>
    </row>
    <row r="17" spans="2:9" ht="31.5" customHeight="1">
      <c r="B17" s="337"/>
      <c r="C17" s="8" t="s">
        <v>310</v>
      </c>
      <c r="D17" s="30">
        <v>106.2</v>
      </c>
      <c r="E17" s="146">
        <v>15</v>
      </c>
      <c r="F17" s="220">
        <v>1</v>
      </c>
      <c r="G17" s="78"/>
    </row>
    <row r="18" spans="2:9" ht="31.5" customHeight="1">
      <c r="B18" s="337"/>
      <c r="C18" s="8" t="s">
        <v>311</v>
      </c>
      <c r="D18" s="30">
        <v>692.05</v>
      </c>
      <c r="E18" s="146">
        <v>10</v>
      </c>
      <c r="F18" s="220">
        <v>13</v>
      </c>
      <c r="G18" s="78"/>
      <c r="H18" s="142"/>
    </row>
    <row r="19" spans="2:9" ht="31.5" customHeight="1">
      <c r="B19" s="337"/>
      <c r="C19" s="8" t="s">
        <v>312</v>
      </c>
      <c r="D19" s="30">
        <v>806.15</v>
      </c>
      <c r="E19" s="146">
        <v>6</v>
      </c>
      <c r="F19" s="220">
        <v>27</v>
      </c>
      <c r="G19" s="78"/>
      <c r="H19" s="142"/>
    </row>
    <row r="20" spans="2:9" ht="31.5" customHeight="1">
      <c r="B20" s="337"/>
      <c r="C20" s="8" t="s">
        <v>313</v>
      </c>
      <c r="D20" s="30">
        <v>967.96</v>
      </c>
      <c r="E20" s="146">
        <v>10</v>
      </c>
      <c r="F20" s="220">
        <v>19</v>
      </c>
      <c r="G20" s="78"/>
    </row>
    <row r="21" spans="2:9" ht="36" customHeight="1">
      <c r="B21" s="337"/>
      <c r="C21" s="8" t="s">
        <v>314</v>
      </c>
      <c r="D21" s="30">
        <v>697.26</v>
      </c>
      <c r="E21" s="146">
        <v>6</v>
      </c>
      <c r="F21" s="220">
        <v>21</v>
      </c>
      <c r="G21" s="78"/>
    </row>
    <row r="22" spans="2:9" ht="48.75" customHeight="1">
      <c r="B22" s="337"/>
      <c r="C22" s="8" t="s">
        <v>315</v>
      </c>
      <c r="D22" s="146">
        <v>0</v>
      </c>
      <c r="E22" s="146">
        <v>10</v>
      </c>
      <c r="F22" s="220">
        <v>0</v>
      </c>
      <c r="G22" s="154" t="s">
        <v>73</v>
      </c>
    </row>
    <row r="23" spans="2:9" ht="51.75" customHeight="1">
      <c r="B23" s="337"/>
      <c r="C23" s="8" t="s">
        <v>316</v>
      </c>
      <c r="D23" s="30">
        <v>90</v>
      </c>
      <c r="E23" s="146">
        <v>15</v>
      </c>
      <c r="F23" s="220">
        <v>1</v>
      </c>
      <c r="G23" s="78"/>
    </row>
    <row r="24" spans="2:9" ht="39" customHeight="1">
      <c r="B24" s="337"/>
      <c r="C24" s="8" t="s">
        <v>317</v>
      </c>
      <c r="D24" s="30">
        <v>2865.84</v>
      </c>
      <c r="E24" s="146">
        <v>10</v>
      </c>
      <c r="F24" s="220">
        <v>14</v>
      </c>
      <c r="G24" s="16"/>
      <c r="I24" s="212"/>
    </row>
    <row r="25" spans="2:9" ht="31.5" customHeight="1">
      <c r="B25" s="337"/>
      <c r="C25" s="8" t="s">
        <v>318</v>
      </c>
      <c r="D25" s="146">
        <v>0</v>
      </c>
      <c r="E25" s="146">
        <v>6</v>
      </c>
      <c r="F25" s="220">
        <v>0</v>
      </c>
      <c r="G25" s="154" t="s">
        <v>73</v>
      </c>
    </row>
    <row r="26" spans="2:9" ht="31.5" customHeight="1">
      <c r="B26" s="337"/>
      <c r="C26" s="8" t="s">
        <v>319</v>
      </c>
      <c r="D26" s="30">
        <v>638.76</v>
      </c>
      <c r="E26" s="146">
        <v>10</v>
      </c>
      <c r="F26" s="220">
        <v>6</v>
      </c>
      <c r="G26" s="78"/>
    </row>
    <row r="27" spans="2:9" ht="31.5" customHeight="1">
      <c r="B27" s="337"/>
      <c r="C27" s="8" t="s">
        <v>320</v>
      </c>
      <c r="D27" s="146">
        <v>0</v>
      </c>
      <c r="E27" s="146">
        <v>6</v>
      </c>
      <c r="F27" s="220">
        <v>0</v>
      </c>
      <c r="G27" s="154" t="s">
        <v>73</v>
      </c>
    </row>
    <row r="28" spans="2:9" ht="31.5" customHeight="1">
      <c r="B28" s="337"/>
      <c r="C28" s="8" t="s">
        <v>321</v>
      </c>
      <c r="D28" s="146">
        <v>742.56</v>
      </c>
      <c r="E28" s="146">
        <v>10</v>
      </c>
      <c r="F28" s="220">
        <v>8</v>
      </c>
      <c r="G28" s="78"/>
    </row>
    <row r="29" spans="2:9" ht="31.5" customHeight="1">
      <c r="B29" s="337"/>
      <c r="C29" s="8" t="s">
        <v>322</v>
      </c>
      <c r="D29" s="30">
        <v>2961.5</v>
      </c>
      <c r="E29" s="146">
        <v>6</v>
      </c>
      <c r="F29" s="220">
        <v>6</v>
      </c>
      <c r="G29" s="16"/>
      <c r="I29" s="212"/>
    </row>
    <row r="30" spans="2:9" ht="31.5" customHeight="1">
      <c r="B30" s="337"/>
      <c r="C30" s="8" t="s">
        <v>323</v>
      </c>
      <c r="D30" s="30">
        <v>96.84</v>
      </c>
      <c r="E30" s="146">
        <v>10</v>
      </c>
      <c r="F30" s="220">
        <v>4</v>
      </c>
      <c r="G30" s="16"/>
      <c r="I30" s="212"/>
    </row>
    <row r="31" spans="2:9" ht="31.5" customHeight="1">
      <c r="B31" s="337"/>
      <c r="C31" s="8" t="s">
        <v>324</v>
      </c>
      <c r="D31" s="30">
        <v>96.73</v>
      </c>
      <c r="E31" s="146">
        <v>6</v>
      </c>
      <c r="F31" s="220">
        <v>7</v>
      </c>
      <c r="G31" s="16"/>
      <c r="I31" s="212"/>
    </row>
    <row r="32" spans="2:9" ht="31.5" customHeight="1">
      <c r="B32" s="337"/>
      <c r="C32" s="8" t="s">
        <v>325</v>
      </c>
      <c r="D32" s="146">
        <v>990</v>
      </c>
      <c r="E32" s="146">
        <v>10</v>
      </c>
      <c r="F32" s="220">
        <v>5</v>
      </c>
      <c r="G32" s="78"/>
    </row>
    <row r="33" spans="2:16" ht="31.5" customHeight="1">
      <c r="B33" s="337"/>
      <c r="C33" s="8" t="s">
        <v>326</v>
      </c>
      <c r="D33" s="146">
        <v>0</v>
      </c>
      <c r="E33" s="146">
        <v>6</v>
      </c>
      <c r="F33" s="220">
        <v>0</v>
      </c>
      <c r="G33" s="154" t="s">
        <v>73</v>
      </c>
    </row>
    <row r="34" spans="2:16" ht="31.5" customHeight="1">
      <c r="B34" s="337"/>
      <c r="C34" s="8" t="s">
        <v>327</v>
      </c>
      <c r="D34" s="30">
        <v>264.06</v>
      </c>
      <c r="E34" s="146">
        <v>10</v>
      </c>
      <c r="F34" s="220">
        <v>9</v>
      </c>
      <c r="G34" s="78"/>
    </row>
    <row r="35" spans="2:16" ht="31.5" customHeight="1">
      <c r="B35" s="337"/>
      <c r="C35" s="8" t="s">
        <v>328</v>
      </c>
      <c r="D35" s="30">
        <v>403.48</v>
      </c>
      <c r="E35" s="146">
        <v>6</v>
      </c>
      <c r="F35" s="220">
        <v>10</v>
      </c>
      <c r="G35" s="78"/>
    </row>
    <row r="36" spans="2:16" ht="31.5" customHeight="1">
      <c r="B36" s="337"/>
      <c r="C36" s="8" t="s">
        <v>329</v>
      </c>
      <c r="D36" s="30">
        <v>896.82</v>
      </c>
      <c r="E36" s="146">
        <v>10</v>
      </c>
      <c r="F36" s="220">
        <v>11</v>
      </c>
      <c r="G36" s="16"/>
      <c r="I36" s="212"/>
    </row>
    <row r="37" spans="2:16" ht="31.5" customHeight="1">
      <c r="B37" s="337"/>
      <c r="C37" s="8" t="s">
        <v>330</v>
      </c>
      <c r="D37" s="30">
        <v>250.38</v>
      </c>
      <c r="E37" s="146">
        <v>6</v>
      </c>
      <c r="F37" s="220">
        <v>7</v>
      </c>
      <c r="G37" s="78"/>
    </row>
    <row r="38" spans="2:16" ht="31.5" customHeight="1">
      <c r="B38" s="337"/>
      <c r="C38" s="8" t="s">
        <v>331</v>
      </c>
      <c r="D38" s="30">
        <v>108</v>
      </c>
      <c r="E38" s="146">
        <v>15</v>
      </c>
      <c r="F38" s="220">
        <v>1</v>
      </c>
      <c r="G38" s="78"/>
    </row>
    <row r="39" spans="2:16" ht="31.5" customHeight="1">
      <c r="B39" s="337"/>
      <c r="C39" s="8" t="s">
        <v>332</v>
      </c>
      <c r="D39" s="30">
        <v>1653.21</v>
      </c>
      <c r="E39" s="146">
        <v>10</v>
      </c>
      <c r="F39" s="220">
        <v>15</v>
      </c>
      <c r="G39" s="78"/>
      <c r="H39" s="213"/>
      <c r="I39" s="142"/>
    </row>
    <row r="40" spans="2:16" ht="31.5" customHeight="1">
      <c r="B40" s="337"/>
      <c r="C40" s="8" t="s">
        <v>333</v>
      </c>
      <c r="D40" s="146">
        <v>0</v>
      </c>
      <c r="E40" s="146">
        <v>6</v>
      </c>
      <c r="F40" s="220">
        <v>0</v>
      </c>
      <c r="G40" s="154" t="s">
        <v>73</v>
      </c>
    </row>
    <row r="41" spans="2:16" ht="42" customHeight="1">
      <c r="B41" s="337"/>
      <c r="C41" s="8" t="s">
        <v>334</v>
      </c>
      <c r="D41" s="146">
        <v>844.43</v>
      </c>
      <c r="E41" s="146">
        <v>10</v>
      </c>
      <c r="F41" s="220">
        <v>14</v>
      </c>
      <c r="G41" s="78"/>
    </row>
    <row r="42" spans="2:16" ht="31.5" customHeight="1">
      <c r="B42" s="337"/>
      <c r="C42" s="8" t="s">
        <v>335</v>
      </c>
      <c r="D42" s="146">
        <v>0</v>
      </c>
      <c r="E42" s="146">
        <v>6</v>
      </c>
      <c r="F42" s="220">
        <v>0</v>
      </c>
      <c r="G42" s="154" t="s">
        <v>73</v>
      </c>
    </row>
    <row r="43" spans="2:16" ht="31.5" customHeight="1">
      <c r="B43" s="337"/>
      <c r="C43" s="8" t="s">
        <v>336</v>
      </c>
      <c r="D43" s="146">
        <v>1701.03</v>
      </c>
      <c r="E43" s="146">
        <v>10</v>
      </c>
      <c r="F43" s="220">
        <v>7</v>
      </c>
      <c r="G43" s="78"/>
      <c r="I43" s="212"/>
    </row>
    <row r="44" spans="2:16" ht="31.5" customHeight="1">
      <c r="B44" s="337"/>
      <c r="C44" s="8" t="s">
        <v>337</v>
      </c>
      <c r="D44" s="146">
        <v>0</v>
      </c>
      <c r="E44" s="146">
        <v>6</v>
      </c>
      <c r="F44" s="220">
        <v>0</v>
      </c>
      <c r="G44" s="154" t="s">
        <v>73</v>
      </c>
    </row>
    <row r="45" spans="2:16" ht="31.5" customHeight="1">
      <c r="B45" s="337"/>
      <c r="C45" s="8" t="s">
        <v>338</v>
      </c>
      <c r="D45" s="146">
        <v>1597.2</v>
      </c>
      <c r="E45" s="146">
        <v>10</v>
      </c>
      <c r="F45" s="220">
        <v>5</v>
      </c>
      <c r="G45" s="74"/>
    </row>
    <row r="46" spans="2:16" ht="31.5" customHeight="1">
      <c r="B46" s="337"/>
      <c r="C46" s="8" t="s">
        <v>339</v>
      </c>
      <c r="D46" s="146">
        <v>0</v>
      </c>
      <c r="E46" s="146">
        <v>6</v>
      </c>
      <c r="F46" s="220">
        <v>0</v>
      </c>
      <c r="G46" s="154" t="s">
        <v>73</v>
      </c>
    </row>
    <row r="47" spans="2:16" ht="31.5" customHeight="1">
      <c r="B47" s="337"/>
      <c r="C47" s="8" t="s">
        <v>340</v>
      </c>
      <c r="D47" s="146">
        <v>75.12</v>
      </c>
      <c r="E47" s="146">
        <v>10</v>
      </c>
      <c r="F47" s="220">
        <v>4</v>
      </c>
      <c r="G47" s="16"/>
      <c r="I47" s="212"/>
      <c r="P47" s="214"/>
    </row>
    <row r="48" spans="2:16" ht="31.5" customHeight="1">
      <c r="B48" s="337"/>
      <c r="C48" s="8" t="s">
        <v>341</v>
      </c>
      <c r="D48" s="146">
        <v>0</v>
      </c>
      <c r="E48" s="146">
        <v>6</v>
      </c>
      <c r="F48" s="220">
        <v>0</v>
      </c>
      <c r="G48" s="154" t="s">
        <v>73</v>
      </c>
      <c r="P48" s="214"/>
    </row>
    <row r="49" spans="2:16" ht="31.5" customHeight="1">
      <c r="B49" s="337"/>
      <c r="C49" s="8" t="s">
        <v>342</v>
      </c>
      <c r="D49" s="30">
        <v>94.46</v>
      </c>
      <c r="E49" s="146">
        <v>10</v>
      </c>
      <c r="F49" s="220">
        <v>2</v>
      </c>
      <c r="G49" s="78"/>
      <c r="P49" s="214"/>
    </row>
    <row r="50" spans="2:16" ht="31.5" customHeight="1">
      <c r="B50" s="337"/>
      <c r="C50" s="8" t="s">
        <v>343</v>
      </c>
      <c r="D50" s="146">
        <v>0</v>
      </c>
      <c r="E50" s="146">
        <v>6</v>
      </c>
      <c r="F50" s="129">
        <v>2</v>
      </c>
      <c r="G50" s="210"/>
    </row>
    <row r="51" spans="2:16" ht="31.5" customHeight="1">
      <c r="B51" s="337"/>
      <c r="C51" s="8" t="s">
        <v>344</v>
      </c>
      <c r="D51" s="146">
        <v>309.60000000000002</v>
      </c>
      <c r="E51" s="146">
        <v>10</v>
      </c>
      <c r="F51" s="129">
        <v>9</v>
      </c>
      <c r="G51" s="210"/>
    </row>
    <row r="52" spans="2:16" ht="31.5" customHeight="1">
      <c r="B52" s="337"/>
      <c r="C52" s="8" t="s">
        <v>345</v>
      </c>
      <c r="D52" s="30">
        <v>171.74</v>
      </c>
      <c r="E52" s="146">
        <v>6</v>
      </c>
      <c r="F52" s="129">
        <v>6</v>
      </c>
      <c r="G52" s="210"/>
    </row>
    <row r="53" spans="2:16" ht="31.5" customHeight="1">
      <c r="B53" s="337"/>
      <c r="C53" s="8" t="s">
        <v>346</v>
      </c>
      <c r="D53" s="30">
        <v>79.56</v>
      </c>
      <c r="E53" s="146">
        <v>10</v>
      </c>
      <c r="F53" s="129">
        <v>5</v>
      </c>
      <c r="G53" s="210"/>
    </row>
    <row r="54" spans="2:16" ht="31.5" customHeight="1">
      <c r="B54" s="337"/>
      <c r="C54" s="8" t="s">
        <v>347</v>
      </c>
      <c r="D54" s="30">
        <v>25.2</v>
      </c>
      <c r="E54" s="146">
        <v>6</v>
      </c>
      <c r="F54" s="129">
        <v>3</v>
      </c>
      <c r="G54" s="210"/>
    </row>
    <row r="55" spans="2:16" ht="31.5" customHeight="1">
      <c r="B55" s="337"/>
      <c r="C55" s="8" t="s">
        <v>348</v>
      </c>
      <c r="D55" s="30">
        <v>440.52</v>
      </c>
      <c r="E55" s="146">
        <v>10</v>
      </c>
      <c r="F55" s="129">
        <v>13</v>
      </c>
      <c r="G55" s="210"/>
    </row>
    <row r="56" spans="2:16" ht="31.5" customHeight="1">
      <c r="B56" s="337"/>
      <c r="C56" s="8" t="s">
        <v>349</v>
      </c>
      <c r="D56" s="30">
        <v>43.2</v>
      </c>
      <c r="E56" s="146">
        <v>6</v>
      </c>
      <c r="F56" s="129">
        <v>7</v>
      </c>
      <c r="G56" s="210"/>
    </row>
    <row r="57" spans="2:16" ht="31.5" customHeight="1">
      <c r="B57" s="337"/>
      <c r="C57" s="8" t="s">
        <v>350</v>
      </c>
      <c r="D57" s="30">
        <v>126</v>
      </c>
      <c r="E57" s="146">
        <v>15</v>
      </c>
      <c r="F57" s="129">
        <v>2</v>
      </c>
      <c r="G57" s="210"/>
    </row>
    <row r="58" spans="2:16" ht="61.8" customHeight="1">
      <c r="B58" s="73" t="s">
        <v>51</v>
      </c>
      <c r="C58" s="73"/>
      <c r="D58" s="219">
        <f>SUM(D8:D57)</f>
        <v>28941.480000000003</v>
      </c>
      <c r="E58" s="219">
        <f>SUM(E8:E57)</f>
        <v>432</v>
      </c>
      <c r="F58" s="218">
        <f>SUM(F8:F57)</f>
        <v>319</v>
      </c>
      <c r="G58" s="216" t="s">
        <v>351</v>
      </c>
    </row>
    <row r="59" spans="2:16" ht="42" customHeight="1">
      <c r="B59" s="338" t="s">
        <v>52</v>
      </c>
      <c r="C59" s="133" t="s">
        <v>352</v>
      </c>
      <c r="D59" s="146">
        <v>0</v>
      </c>
      <c r="E59" s="146">
        <v>0</v>
      </c>
      <c r="F59" s="215">
        <v>16</v>
      </c>
      <c r="G59" s="96" t="s">
        <v>168</v>
      </c>
    </row>
    <row r="60" spans="2:16" ht="28.8">
      <c r="B60" s="338"/>
      <c r="C60" s="8" t="s">
        <v>353</v>
      </c>
      <c r="D60" s="146">
        <v>0</v>
      </c>
      <c r="E60" s="146">
        <v>1.22</v>
      </c>
      <c r="F60" s="215">
        <v>0</v>
      </c>
      <c r="G60" s="154" t="s">
        <v>73</v>
      </c>
    </row>
    <row r="61" spans="2:16" ht="41.4">
      <c r="B61" s="338"/>
      <c r="C61" s="8" t="s">
        <v>354</v>
      </c>
      <c r="D61" s="55">
        <v>126.42</v>
      </c>
      <c r="E61" s="146">
        <v>4.96</v>
      </c>
      <c r="F61" s="215">
        <v>3</v>
      </c>
      <c r="G61" s="216" t="s">
        <v>355</v>
      </c>
    </row>
    <row r="62" spans="2:16" ht="39.75" customHeight="1">
      <c r="B62" s="338"/>
      <c r="C62" s="8" t="s">
        <v>356</v>
      </c>
      <c r="D62" s="146">
        <v>0</v>
      </c>
      <c r="E62" s="146">
        <v>0</v>
      </c>
      <c r="F62" s="215">
        <v>0</v>
      </c>
      <c r="G62" s="154" t="s">
        <v>73</v>
      </c>
    </row>
    <row r="63" spans="2:16" ht="28.8">
      <c r="B63" s="338"/>
      <c r="C63" s="8" t="s">
        <v>357</v>
      </c>
      <c r="D63" s="146">
        <v>0</v>
      </c>
      <c r="E63" s="146">
        <v>1.22</v>
      </c>
      <c r="F63" s="215">
        <v>0</v>
      </c>
      <c r="G63" s="154" t="s">
        <v>73</v>
      </c>
    </row>
    <row r="64" spans="2:16" ht="53.25" customHeight="1">
      <c r="B64" s="338"/>
      <c r="C64" s="8" t="s">
        <v>358</v>
      </c>
      <c r="D64" s="146">
        <v>0</v>
      </c>
      <c r="E64" s="146">
        <v>4.96</v>
      </c>
      <c r="F64" s="215">
        <v>0</v>
      </c>
      <c r="G64" s="154" t="s">
        <v>73</v>
      </c>
    </row>
    <row r="65" spans="2:7" ht="53.25" customHeight="1">
      <c r="B65" s="338"/>
      <c r="C65" s="133" t="s">
        <v>359</v>
      </c>
      <c r="D65" s="146">
        <v>0</v>
      </c>
      <c r="E65" s="146">
        <v>0</v>
      </c>
      <c r="F65" s="215">
        <v>2</v>
      </c>
      <c r="G65" s="96" t="s">
        <v>168</v>
      </c>
    </row>
    <row r="66" spans="2:7" ht="59.4" customHeight="1">
      <c r="B66" s="338"/>
      <c r="C66" s="8" t="s">
        <v>360</v>
      </c>
      <c r="D66" s="146">
        <v>0</v>
      </c>
      <c r="E66" s="146">
        <v>1.22</v>
      </c>
      <c r="F66" s="215">
        <v>0</v>
      </c>
      <c r="G66" s="154" t="s">
        <v>73</v>
      </c>
    </row>
    <row r="67" spans="2:7" ht="41.4">
      <c r="B67" s="338"/>
      <c r="C67" s="8" t="s">
        <v>361</v>
      </c>
      <c r="D67" s="55">
        <v>148.72</v>
      </c>
      <c r="E67" s="146">
        <v>4.96</v>
      </c>
      <c r="F67" s="215">
        <v>2</v>
      </c>
      <c r="G67" s="216" t="s">
        <v>355</v>
      </c>
    </row>
    <row r="68" spans="2:7" ht="59.4" customHeight="1">
      <c r="B68" s="338"/>
      <c r="C68" s="70" t="s">
        <v>362</v>
      </c>
      <c r="D68" s="146">
        <v>0</v>
      </c>
      <c r="E68" s="146">
        <v>0</v>
      </c>
      <c r="F68" s="215">
        <v>0</v>
      </c>
      <c r="G68" s="154" t="s">
        <v>73</v>
      </c>
    </row>
    <row r="69" spans="2:7" ht="42.75" customHeight="1">
      <c r="B69" s="338"/>
      <c r="C69" s="70" t="s">
        <v>363</v>
      </c>
      <c r="D69" s="146">
        <v>0</v>
      </c>
      <c r="E69" s="146">
        <v>4.96</v>
      </c>
      <c r="F69" s="215">
        <v>0</v>
      </c>
      <c r="G69" s="154" t="s">
        <v>73</v>
      </c>
    </row>
    <row r="70" spans="2:7" ht="42.75" customHeight="1">
      <c r="B70" s="338"/>
      <c r="C70" s="8" t="s">
        <v>364</v>
      </c>
      <c r="D70" s="146">
        <v>0</v>
      </c>
      <c r="E70" s="146">
        <v>0</v>
      </c>
      <c r="F70" s="221">
        <v>10</v>
      </c>
      <c r="G70" s="96" t="s">
        <v>168</v>
      </c>
    </row>
    <row r="71" spans="2:7" ht="42.75" customHeight="1">
      <c r="B71" s="338"/>
      <c r="C71" s="8" t="s">
        <v>365</v>
      </c>
      <c r="D71" s="146">
        <v>0</v>
      </c>
      <c r="E71" s="146">
        <v>0.99</v>
      </c>
      <c r="F71" s="129">
        <v>0</v>
      </c>
      <c r="G71" s="154" t="s">
        <v>73</v>
      </c>
    </row>
    <row r="72" spans="2:7" ht="42.75" customHeight="1">
      <c r="B72" s="338"/>
      <c r="C72" s="8" t="s">
        <v>366</v>
      </c>
      <c r="D72" s="146">
        <v>0</v>
      </c>
      <c r="E72" s="146">
        <v>3.72</v>
      </c>
      <c r="F72" s="129">
        <v>0</v>
      </c>
      <c r="G72" s="154" t="s">
        <v>73</v>
      </c>
    </row>
    <row r="73" spans="2:7" ht="42.75" customHeight="1">
      <c r="B73" s="338"/>
      <c r="C73" s="8" t="s">
        <v>367</v>
      </c>
      <c r="D73" s="146">
        <v>0</v>
      </c>
      <c r="E73" s="146">
        <v>11.16</v>
      </c>
      <c r="F73" s="129">
        <v>0</v>
      </c>
      <c r="G73" s="154" t="s">
        <v>73</v>
      </c>
    </row>
    <row r="74" spans="2:7" ht="42.75" customHeight="1">
      <c r="B74" s="338"/>
      <c r="C74" s="133" t="s">
        <v>368</v>
      </c>
      <c r="D74" s="146">
        <v>0</v>
      </c>
      <c r="E74" s="146">
        <v>0</v>
      </c>
      <c r="F74" s="129">
        <v>5</v>
      </c>
      <c r="G74" s="96" t="s">
        <v>168</v>
      </c>
    </row>
    <row r="75" spans="2:7" ht="42.75" customHeight="1">
      <c r="B75" s="338"/>
      <c r="C75" s="8" t="s">
        <v>369</v>
      </c>
      <c r="D75" s="146">
        <v>0</v>
      </c>
      <c r="E75" s="146">
        <v>0.68</v>
      </c>
      <c r="F75" s="129">
        <v>0</v>
      </c>
      <c r="G75" s="154" t="s">
        <v>73</v>
      </c>
    </row>
    <row r="76" spans="2:7" ht="42.75" customHeight="1">
      <c r="B76" s="338"/>
      <c r="C76" s="8" t="s">
        <v>370</v>
      </c>
      <c r="D76" s="146">
        <v>0</v>
      </c>
      <c r="E76" s="146">
        <v>2.48</v>
      </c>
      <c r="F76" s="129">
        <v>0</v>
      </c>
      <c r="G76" s="154" t="s">
        <v>73</v>
      </c>
    </row>
    <row r="77" spans="2:7" ht="42.75" customHeight="1">
      <c r="B77" s="338"/>
      <c r="C77" s="8" t="s">
        <v>371</v>
      </c>
      <c r="D77" s="146">
        <v>0</v>
      </c>
      <c r="E77" s="146">
        <v>7.44</v>
      </c>
      <c r="F77" s="129">
        <v>0</v>
      </c>
      <c r="G77" s="154" t="s">
        <v>73</v>
      </c>
    </row>
    <row r="78" spans="2:7" ht="42.75" customHeight="1">
      <c r="B78" s="338"/>
      <c r="C78" s="133" t="s">
        <v>372</v>
      </c>
      <c r="D78" s="146">
        <v>0</v>
      </c>
      <c r="E78" s="146">
        <v>0</v>
      </c>
      <c r="F78" s="129">
        <v>6</v>
      </c>
      <c r="G78" s="96" t="s">
        <v>168</v>
      </c>
    </row>
    <row r="79" spans="2:7" ht="39.6" customHeight="1">
      <c r="B79" s="338"/>
      <c r="C79" s="8" t="s">
        <v>373</v>
      </c>
      <c r="D79" s="146">
        <v>0</v>
      </c>
      <c r="E79" s="146">
        <v>0.68</v>
      </c>
      <c r="F79" s="129">
        <v>0</v>
      </c>
      <c r="G79" s="154" t="s">
        <v>73</v>
      </c>
    </row>
    <row r="80" spans="2:7" ht="42" customHeight="1">
      <c r="B80" s="338"/>
      <c r="C80" s="8" t="s">
        <v>374</v>
      </c>
      <c r="D80" s="146">
        <v>0</v>
      </c>
      <c r="E80" s="146">
        <v>2.48</v>
      </c>
      <c r="F80" s="129">
        <v>0</v>
      </c>
      <c r="G80" s="154" t="s">
        <v>73</v>
      </c>
    </row>
    <row r="81" spans="2:7" ht="47.25" customHeight="1">
      <c r="B81" s="338"/>
      <c r="C81" s="8" t="s">
        <v>375</v>
      </c>
      <c r="D81" s="146">
        <v>0</v>
      </c>
      <c r="E81" s="146">
        <v>7.44</v>
      </c>
      <c r="F81" s="129">
        <v>0</v>
      </c>
      <c r="G81" s="154" t="s">
        <v>73</v>
      </c>
    </row>
    <row r="82" spans="2:7" ht="33" customHeight="1">
      <c r="B82" s="73" t="s">
        <v>51</v>
      </c>
      <c r="C82" s="73"/>
      <c r="D82" s="219">
        <f>SUM(D59:D81)</f>
        <v>275.14</v>
      </c>
      <c r="E82" s="219">
        <f>SUM(E59:E81)</f>
        <v>60.569999999999986</v>
      </c>
      <c r="F82" s="218">
        <f>SUM(F59:F81)</f>
        <v>44</v>
      </c>
      <c r="G82" s="76"/>
    </row>
    <row r="83" spans="2:7" ht="24.75" customHeight="1">
      <c r="B83" s="334" t="s">
        <v>56</v>
      </c>
      <c r="C83" s="334"/>
      <c r="D83" s="334"/>
      <c r="E83" s="334"/>
      <c r="F83" s="334"/>
      <c r="G83" s="334"/>
    </row>
    <row r="84" spans="2:7" ht="53.25" customHeight="1">
      <c r="B84" s="77" t="s">
        <v>4</v>
      </c>
      <c r="C84" s="77" t="s">
        <v>57</v>
      </c>
      <c r="D84" s="77" t="s">
        <v>6</v>
      </c>
      <c r="E84" s="77" t="s">
        <v>58</v>
      </c>
      <c r="F84" s="77" t="s">
        <v>8</v>
      </c>
      <c r="G84" s="78" t="s">
        <v>59</v>
      </c>
    </row>
    <row r="85" spans="2:7" ht="34.200000000000003" customHeight="1">
      <c r="B85" s="13" t="s">
        <v>60</v>
      </c>
      <c r="C85" s="79"/>
      <c r="D85" s="30">
        <v>0</v>
      </c>
      <c r="E85" s="30">
        <v>0</v>
      </c>
      <c r="F85" s="129">
        <v>0</v>
      </c>
      <c r="G85" s="154" t="s">
        <v>73</v>
      </c>
    </row>
    <row r="86" spans="2:7" ht="25.2" customHeight="1">
      <c r="B86" s="87" t="s">
        <v>51</v>
      </c>
      <c r="C86" s="88"/>
      <c r="D86" s="186">
        <f>SUM(D85)</f>
        <v>0</v>
      </c>
      <c r="E86" s="186">
        <f>SUM(E85)</f>
        <v>0</v>
      </c>
      <c r="F86" s="206">
        <f>SUM(F85)</f>
        <v>0</v>
      </c>
      <c r="G86" s="16"/>
    </row>
    <row r="87" spans="2:7" ht="46.8" customHeight="1">
      <c r="B87" s="282" t="s">
        <v>61</v>
      </c>
      <c r="C87" s="8" t="s">
        <v>376</v>
      </c>
      <c r="D87" s="146">
        <v>5503.1</v>
      </c>
      <c r="E87" s="146">
        <v>5540</v>
      </c>
      <c r="F87" s="221">
        <v>100</v>
      </c>
      <c r="G87" s="16"/>
    </row>
    <row r="88" spans="2:7" ht="33" customHeight="1">
      <c r="B88" s="282"/>
      <c r="C88" s="8" t="s">
        <v>377</v>
      </c>
      <c r="D88" s="146">
        <v>3600</v>
      </c>
      <c r="E88" s="146">
        <v>3600</v>
      </c>
      <c r="F88" s="221">
        <v>60</v>
      </c>
      <c r="G88" s="16"/>
    </row>
    <row r="89" spans="2:7" ht="29.4" customHeight="1">
      <c r="B89" s="87" t="s">
        <v>51</v>
      </c>
      <c r="C89" s="88"/>
      <c r="D89" s="219">
        <f>SUM(D87:D88)</f>
        <v>9103.1</v>
      </c>
      <c r="E89" s="219">
        <f>SUM(E87:E88)</f>
        <v>9140</v>
      </c>
      <c r="F89" s="218">
        <f>SUM(F87:F88)</f>
        <v>160</v>
      </c>
      <c r="G89" s="16"/>
    </row>
    <row r="90" spans="2:7" ht="66.599999999999994" customHeight="1">
      <c r="B90" s="338" t="s">
        <v>63</v>
      </c>
      <c r="C90" s="38" t="s">
        <v>378</v>
      </c>
      <c r="D90" s="30">
        <v>315.14</v>
      </c>
      <c r="E90" s="30">
        <v>315.14</v>
      </c>
      <c r="F90" s="129">
        <v>1</v>
      </c>
      <c r="G90" s="8"/>
    </row>
    <row r="91" spans="2:7" ht="27" customHeight="1">
      <c r="B91" s="338"/>
      <c r="C91" s="38" t="s">
        <v>379</v>
      </c>
      <c r="D91" s="30">
        <v>367.58</v>
      </c>
      <c r="E91" s="30">
        <v>367.58</v>
      </c>
      <c r="F91" s="129">
        <v>1</v>
      </c>
      <c r="G91" s="8"/>
    </row>
    <row r="92" spans="2:7" ht="33.6" customHeight="1">
      <c r="B92" s="338"/>
      <c r="C92" s="38" t="s">
        <v>380</v>
      </c>
      <c r="D92" s="30">
        <v>0</v>
      </c>
      <c r="E92" s="30">
        <v>18679.41</v>
      </c>
      <c r="F92" s="129">
        <v>0</v>
      </c>
      <c r="G92" s="154" t="s">
        <v>73</v>
      </c>
    </row>
    <row r="93" spans="2:7" ht="28.8" customHeight="1">
      <c r="B93" s="87" t="s">
        <v>51</v>
      </c>
      <c r="C93" s="88"/>
      <c r="D93" s="219">
        <f>SUM(D90:D92)</f>
        <v>682.72</v>
      </c>
      <c r="E93" s="219">
        <f>SUM(E90:E92)</f>
        <v>19362.13</v>
      </c>
      <c r="F93" s="218">
        <f>SUM(F90:F92)</f>
        <v>2</v>
      </c>
      <c r="G93" s="16"/>
    </row>
    <row r="94" spans="2:7" ht="60" customHeight="1">
      <c r="B94" s="338" t="s">
        <v>65</v>
      </c>
      <c r="C94" s="70" t="s">
        <v>381</v>
      </c>
      <c r="D94" s="30">
        <v>0</v>
      </c>
      <c r="E94" s="30">
        <v>798.75</v>
      </c>
      <c r="F94" s="59">
        <v>0</v>
      </c>
      <c r="G94" s="8" t="s">
        <v>382</v>
      </c>
    </row>
    <row r="95" spans="2:7" ht="41.4" customHeight="1">
      <c r="B95" s="338"/>
      <c r="C95" s="8" t="s">
        <v>383</v>
      </c>
      <c r="D95" s="30">
        <v>0</v>
      </c>
      <c r="E95" s="30">
        <v>6800</v>
      </c>
      <c r="F95" s="59">
        <v>0</v>
      </c>
      <c r="G95" s="154" t="s">
        <v>73</v>
      </c>
    </row>
    <row r="96" spans="2:7" ht="45" customHeight="1">
      <c r="B96" s="338"/>
      <c r="C96" s="8" t="s">
        <v>384</v>
      </c>
      <c r="D96" s="30">
        <v>4792.66</v>
      </c>
      <c r="E96" s="30">
        <v>7910</v>
      </c>
      <c r="F96" s="59">
        <v>2</v>
      </c>
      <c r="G96" s="8" t="s">
        <v>385</v>
      </c>
    </row>
    <row r="97" spans="2:7" ht="45" customHeight="1">
      <c r="B97" s="338"/>
      <c r="C97" s="8" t="s">
        <v>386</v>
      </c>
      <c r="D97" s="30">
        <v>0</v>
      </c>
      <c r="E97" s="30">
        <v>3450</v>
      </c>
      <c r="F97" s="59">
        <v>0</v>
      </c>
      <c r="G97" s="154" t="s">
        <v>73</v>
      </c>
    </row>
    <row r="98" spans="2:7" ht="45" customHeight="1">
      <c r="B98" s="338"/>
      <c r="C98" s="70" t="s">
        <v>387</v>
      </c>
      <c r="D98" s="30">
        <v>0</v>
      </c>
      <c r="E98" s="30">
        <v>0</v>
      </c>
      <c r="F98" s="59">
        <v>0</v>
      </c>
      <c r="G98" s="154" t="s">
        <v>73</v>
      </c>
    </row>
    <row r="99" spans="2:7" ht="54" customHeight="1">
      <c r="B99" s="338"/>
      <c r="C99" s="8" t="s">
        <v>388</v>
      </c>
      <c r="D99" s="30">
        <v>0</v>
      </c>
      <c r="E99" s="30">
        <v>0</v>
      </c>
      <c r="F99" s="59">
        <v>0</v>
      </c>
      <c r="G99" s="154" t="s">
        <v>73</v>
      </c>
    </row>
    <row r="100" spans="2:7" ht="45" customHeight="1">
      <c r="B100" s="338"/>
      <c r="C100" s="8" t="s">
        <v>389</v>
      </c>
      <c r="D100" s="30">
        <v>0</v>
      </c>
      <c r="E100" s="30" t="s">
        <v>390</v>
      </c>
      <c r="F100" s="59">
        <v>0</v>
      </c>
      <c r="G100" s="154" t="s">
        <v>73</v>
      </c>
    </row>
    <row r="101" spans="2:7" ht="45" customHeight="1">
      <c r="B101" s="338"/>
      <c r="C101" s="8" t="s">
        <v>391</v>
      </c>
      <c r="D101" s="30">
        <v>0</v>
      </c>
      <c r="E101" s="30">
        <v>0</v>
      </c>
      <c r="F101" s="59">
        <v>0</v>
      </c>
      <c r="G101" s="154" t="s">
        <v>73</v>
      </c>
    </row>
    <row r="102" spans="2:7" ht="45" customHeight="1">
      <c r="B102" s="338"/>
      <c r="C102" s="8" t="s">
        <v>392</v>
      </c>
      <c r="D102" s="30">
        <v>0</v>
      </c>
      <c r="E102" s="30">
        <v>1207</v>
      </c>
      <c r="F102" s="59">
        <v>0</v>
      </c>
      <c r="G102" s="154" t="s">
        <v>73</v>
      </c>
    </row>
    <row r="103" spans="2:7" ht="25.8" customHeight="1">
      <c r="B103" s="338"/>
      <c r="C103" s="8" t="s">
        <v>393</v>
      </c>
      <c r="D103" s="30">
        <v>0</v>
      </c>
      <c r="E103" s="30">
        <v>0</v>
      </c>
      <c r="F103" s="59">
        <v>0</v>
      </c>
      <c r="G103" s="154" t="s">
        <v>73</v>
      </c>
    </row>
    <row r="104" spans="2:7" ht="30.75" customHeight="1">
      <c r="B104" s="338"/>
      <c r="C104" s="8" t="s">
        <v>394</v>
      </c>
      <c r="D104" s="30">
        <v>1818.75</v>
      </c>
      <c r="E104" s="30">
        <v>1818.75</v>
      </c>
      <c r="F104" s="59">
        <v>1</v>
      </c>
      <c r="G104" s="8"/>
    </row>
    <row r="105" spans="2:7" ht="23.4" customHeight="1">
      <c r="B105" s="87" t="s">
        <v>51</v>
      </c>
      <c r="C105" s="217"/>
      <c r="D105" s="219">
        <f>SUM(D94:D104)</f>
        <v>6611.41</v>
      </c>
      <c r="E105" s="219">
        <f>SUM(E94:E104)</f>
        <v>21984.5</v>
      </c>
      <c r="F105" s="218">
        <f>SUM(F94:F104)</f>
        <v>3</v>
      </c>
      <c r="G105" s="16"/>
    </row>
    <row r="106" spans="2:7" ht="25.2" customHeight="1">
      <c r="B106" s="13" t="s">
        <v>68</v>
      </c>
      <c r="C106" s="89"/>
      <c r="D106" s="95">
        <v>0</v>
      </c>
      <c r="E106" s="95">
        <v>0</v>
      </c>
      <c r="F106" s="59">
        <v>0</v>
      </c>
      <c r="G106" s="154" t="s">
        <v>73</v>
      </c>
    </row>
    <row r="107" spans="2:7" ht="29.4" customHeight="1">
      <c r="B107" s="87" t="s">
        <v>51</v>
      </c>
      <c r="C107" s="89"/>
      <c r="D107" s="186">
        <f>SUM(D106)</f>
        <v>0</v>
      </c>
      <c r="E107" s="186">
        <f>SUM(E106)</f>
        <v>0</v>
      </c>
      <c r="F107" s="206">
        <f>SUM(F106)</f>
        <v>0</v>
      </c>
      <c r="G107" s="16"/>
    </row>
    <row r="108" spans="2:7" ht="19.8" customHeight="1">
      <c r="B108" s="340"/>
      <c r="C108" s="340"/>
      <c r="D108" s="340"/>
      <c r="E108" s="340"/>
      <c r="F108" s="340"/>
      <c r="G108" s="340"/>
    </row>
    <row r="109" spans="2:7" ht="39" customHeight="1">
      <c r="B109" s="176" t="s">
        <v>296</v>
      </c>
      <c r="C109" s="217"/>
      <c r="D109" s="219">
        <f>D107+D105+D93+D89+D86+D82+D58</f>
        <v>45613.850000000006</v>
      </c>
      <c r="E109" s="219">
        <f>E107+E105+E93+E89+E86+E82+E58</f>
        <v>50979.200000000004</v>
      </c>
      <c r="F109" s="222">
        <f>F107+F105+F93+F89+F86+F82+F58</f>
        <v>528</v>
      </c>
      <c r="G109" s="16"/>
    </row>
    <row r="110" spans="2:7" ht="39" customHeight="1">
      <c r="B110" s="227"/>
      <c r="C110" s="228"/>
      <c r="D110" s="229"/>
      <c r="E110" s="229"/>
      <c r="F110" s="230"/>
    </row>
    <row r="111" spans="2:7">
      <c r="B111" s="22" t="s">
        <v>398</v>
      </c>
    </row>
    <row r="112" spans="2:7" ht="22.2" customHeight="1">
      <c r="B112" s="339" t="s">
        <v>395</v>
      </c>
      <c r="C112" s="339"/>
      <c r="D112" s="339"/>
      <c r="E112" s="339"/>
    </row>
    <row r="113" spans="2:7" ht="15" customHeight="1">
      <c r="B113" s="339" t="s">
        <v>396</v>
      </c>
      <c r="C113" s="339"/>
      <c r="D113" s="339"/>
      <c r="E113" s="339"/>
    </row>
    <row r="114" spans="2:7">
      <c r="B114" s="339" t="s">
        <v>397</v>
      </c>
      <c r="C114" s="339"/>
      <c r="D114" s="339"/>
      <c r="E114" s="339"/>
      <c r="F114" s="339"/>
      <c r="G114" s="339"/>
    </row>
    <row r="115" spans="2:7">
      <c r="B115" s="26"/>
    </row>
    <row r="116" spans="2:7">
      <c r="B116" s="161" t="s">
        <v>76</v>
      </c>
      <c r="C116" s="183"/>
      <c r="D116" s="161"/>
    </row>
    <row r="117" spans="2:7">
      <c r="B117" s="271"/>
      <c r="C117" s="271"/>
      <c r="D117" s="271"/>
    </row>
    <row r="119" spans="2:7" ht="15.75" customHeight="1"/>
  </sheetData>
  <mergeCells count="15">
    <mergeCell ref="F114:G114"/>
    <mergeCell ref="B117:D117"/>
    <mergeCell ref="B108:G108"/>
    <mergeCell ref="B87:B88"/>
    <mergeCell ref="B90:B92"/>
    <mergeCell ref="B94:B104"/>
    <mergeCell ref="B112:E112"/>
    <mergeCell ref="B113:E113"/>
    <mergeCell ref="B114:E114"/>
    <mergeCell ref="B83:G83"/>
    <mergeCell ref="B4:G4"/>
    <mergeCell ref="B5:G5"/>
    <mergeCell ref="B6:G6"/>
    <mergeCell ref="B8:B57"/>
    <mergeCell ref="B59:B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D032-A427-4C4E-BFBF-8B54BA4D41AF}">
  <dimension ref="B1:J112"/>
  <sheetViews>
    <sheetView topLeftCell="A93" workbookViewId="0">
      <selection activeCell="F100" sqref="F100"/>
    </sheetView>
  </sheetViews>
  <sheetFormatPr defaultColWidth="9.109375" defaultRowHeight="14.4"/>
  <cols>
    <col min="1" max="1" width="3.44140625" style="161" customWidth="1"/>
    <col min="2" max="2" width="39.44140625" style="183" customWidth="1"/>
    <col min="3" max="3" width="34.5546875" style="157" customWidth="1"/>
    <col min="4" max="4" width="17" style="158" bestFit="1" customWidth="1"/>
    <col min="5" max="5" width="13.44140625" style="158" bestFit="1" customWidth="1"/>
    <col min="6" max="6" width="13.88671875" style="159" bestFit="1" customWidth="1"/>
    <col min="7" max="7" width="31.44140625" style="160" bestFit="1" customWidth="1"/>
    <col min="8" max="16384" width="9.109375" style="161"/>
  </cols>
  <sheetData>
    <row r="1" spans="2:7" ht="30" customHeight="1">
      <c r="B1" s="156" t="s">
        <v>0</v>
      </c>
    </row>
    <row r="2" spans="2:7" ht="18">
      <c r="B2" s="156" t="s">
        <v>1</v>
      </c>
      <c r="D2" s="162"/>
      <c r="E2" s="162"/>
    </row>
    <row r="3" spans="2:7" ht="12.75" customHeight="1">
      <c r="B3" s="163"/>
      <c r="D3" s="162"/>
      <c r="E3" s="162"/>
    </row>
    <row r="4" spans="2:7" ht="32.25" customHeight="1">
      <c r="B4" s="341" t="s">
        <v>224</v>
      </c>
      <c r="C4" s="341"/>
      <c r="D4" s="341"/>
      <c r="E4" s="341"/>
      <c r="F4" s="341"/>
      <c r="G4" s="341"/>
    </row>
    <row r="5" spans="2:7" ht="31.5" customHeight="1">
      <c r="B5" s="341" t="s">
        <v>225</v>
      </c>
      <c r="C5" s="341"/>
      <c r="D5" s="341"/>
      <c r="E5" s="341"/>
      <c r="F5" s="341"/>
      <c r="G5" s="341"/>
    </row>
    <row r="6" spans="2:7" ht="26.25" customHeight="1">
      <c r="B6" s="342" t="s">
        <v>3</v>
      </c>
      <c r="C6" s="342"/>
      <c r="D6" s="342"/>
      <c r="E6" s="342"/>
      <c r="F6" s="342"/>
      <c r="G6" s="342"/>
    </row>
    <row r="7" spans="2:7" ht="55.5" customHeight="1">
      <c r="B7" s="164" t="s">
        <v>4</v>
      </c>
      <c r="C7" s="165" t="s">
        <v>5</v>
      </c>
      <c r="D7" s="166" t="s">
        <v>6</v>
      </c>
      <c r="E7" s="166" t="s">
        <v>7</v>
      </c>
      <c r="F7" s="165" t="s">
        <v>8</v>
      </c>
      <c r="G7" s="167" t="s">
        <v>9</v>
      </c>
    </row>
    <row r="8" spans="2:7" ht="33.75" customHeight="1">
      <c r="B8" s="343" t="s">
        <v>10</v>
      </c>
      <c r="C8" s="168" t="s">
        <v>226</v>
      </c>
      <c r="D8" s="169">
        <f>198.45+1271.03+674.1</f>
        <v>2143.58</v>
      </c>
      <c r="E8" s="169">
        <v>4.5</v>
      </c>
      <c r="F8" s="200">
        <v>5</v>
      </c>
      <c r="G8" s="170"/>
    </row>
    <row r="9" spans="2:7" ht="36.75" customHeight="1">
      <c r="B9" s="344"/>
      <c r="C9" s="168" t="s">
        <v>227</v>
      </c>
      <c r="D9" s="169">
        <v>0</v>
      </c>
      <c r="E9" s="169">
        <v>3.5</v>
      </c>
      <c r="F9" s="200">
        <v>0</v>
      </c>
      <c r="G9" s="171" t="s">
        <v>73</v>
      </c>
    </row>
    <row r="10" spans="2:7" ht="36.75" customHeight="1">
      <c r="B10" s="344"/>
      <c r="C10" s="168" t="s">
        <v>226</v>
      </c>
      <c r="D10" s="169">
        <v>1265.04</v>
      </c>
      <c r="E10" s="169">
        <v>5.27</v>
      </c>
      <c r="F10" s="200">
        <v>1</v>
      </c>
      <c r="G10" s="170"/>
    </row>
    <row r="11" spans="2:7" ht="36.75" customHeight="1">
      <c r="B11" s="344"/>
      <c r="C11" s="168" t="s">
        <v>227</v>
      </c>
      <c r="D11" s="172">
        <v>216.48</v>
      </c>
      <c r="E11" s="172">
        <v>1.23</v>
      </c>
      <c r="F11" s="201">
        <v>1</v>
      </c>
      <c r="G11" s="173"/>
    </row>
    <row r="12" spans="2:7" ht="36.75" customHeight="1">
      <c r="B12" s="344"/>
      <c r="C12" s="168" t="s">
        <v>228</v>
      </c>
      <c r="D12" s="172">
        <v>632.52</v>
      </c>
      <c r="E12" s="172">
        <v>5.27</v>
      </c>
      <c r="F12" s="201">
        <v>1</v>
      </c>
      <c r="G12" s="173"/>
    </row>
    <row r="13" spans="2:7" ht="36.75" customHeight="1">
      <c r="B13" s="344"/>
      <c r="C13" s="168" t="s">
        <v>229</v>
      </c>
      <c r="D13" s="169">
        <v>0</v>
      </c>
      <c r="E13" s="169">
        <v>6</v>
      </c>
      <c r="F13" s="200">
        <v>1</v>
      </c>
      <c r="G13" s="171"/>
    </row>
    <row r="14" spans="2:7" ht="36.75" customHeight="1">
      <c r="B14" s="344"/>
      <c r="C14" s="168" t="s">
        <v>230</v>
      </c>
      <c r="D14" s="169">
        <v>345.6</v>
      </c>
      <c r="E14" s="169">
        <v>4.5</v>
      </c>
      <c r="F14" s="200">
        <v>3</v>
      </c>
      <c r="G14" s="170"/>
    </row>
    <row r="15" spans="2:7" ht="36.75" customHeight="1">
      <c r="B15" s="344"/>
      <c r="C15" s="168" t="s">
        <v>231</v>
      </c>
      <c r="D15" s="169">
        <v>67</v>
      </c>
      <c r="E15" s="169">
        <v>3</v>
      </c>
      <c r="F15" s="200">
        <v>1</v>
      </c>
      <c r="G15" s="170"/>
    </row>
    <row r="16" spans="2:7" ht="36.75" customHeight="1">
      <c r="B16" s="344"/>
      <c r="C16" s="168" t="s">
        <v>232</v>
      </c>
      <c r="D16" s="169">
        <f>382.73+46.3+88.8</f>
        <v>517.83000000000004</v>
      </c>
      <c r="E16" s="169">
        <v>3</v>
      </c>
      <c r="F16" s="200">
        <v>6</v>
      </c>
      <c r="G16" s="170"/>
    </row>
    <row r="17" spans="2:7" ht="36.75" customHeight="1">
      <c r="B17" s="344"/>
      <c r="C17" s="168" t="s">
        <v>233</v>
      </c>
      <c r="D17" s="169">
        <v>0</v>
      </c>
      <c r="E17" s="169">
        <v>1.05</v>
      </c>
      <c r="F17" s="200">
        <v>1</v>
      </c>
      <c r="G17" s="170"/>
    </row>
    <row r="18" spans="2:7" ht="36.75" customHeight="1">
      <c r="B18" s="344"/>
      <c r="C18" s="168" t="s">
        <v>234</v>
      </c>
      <c r="D18" s="169">
        <v>0</v>
      </c>
      <c r="E18" s="169">
        <v>3.5</v>
      </c>
      <c r="F18" s="200">
        <v>0</v>
      </c>
      <c r="G18" s="171" t="s">
        <v>73</v>
      </c>
    </row>
    <row r="19" spans="2:7" ht="36.75" customHeight="1">
      <c r="B19" s="344"/>
      <c r="C19" s="168" t="s">
        <v>235</v>
      </c>
      <c r="D19" s="169">
        <f>140.52+1274.05</f>
        <v>1414.57</v>
      </c>
      <c r="E19" s="169">
        <v>4.68</v>
      </c>
      <c r="F19" s="200">
        <v>2</v>
      </c>
      <c r="G19" s="171"/>
    </row>
    <row r="20" spans="2:7" ht="36.75" customHeight="1">
      <c r="B20" s="344"/>
      <c r="C20" s="168" t="s">
        <v>236</v>
      </c>
      <c r="D20" s="172">
        <f>147.6+892.16</f>
        <v>1039.76</v>
      </c>
      <c r="E20" s="172">
        <v>1.64</v>
      </c>
      <c r="F20" s="201">
        <v>1</v>
      </c>
      <c r="G20" s="171"/>
    </row>
    <row r="21" spans="2:7" ht="36.75" customHeight="1">
      <c r="B21" s="344"/>
      <c r="C21" s="168" t="s">
        <v>237</v>
      </c>
      <c r="D21" s="172">
        <v>35.14</v>
      </c>
      <c r="E21" s="172">
        <v>7.03</v>
      </c>
      <c r="F21" s="201">
        <v>1</v>
      </c>
      <c r="G21" s="171"/>
    </row>
    <row r="22" spans="2:7" ht="36.75" customHeight="1">
      <c r="B22" s="344"/>
      <c r="C22" s="168" t="s">
        <v>235</v>
      </c>
      <c r="D22" s="169">
        <f>100.8+50.94</f>
        <v>151.74</v>
      </c>
      <c r="E22" s="169">
        <v>3</v>
      </c>
      <c r="F22" s="200">
        <v>3</v>
      </c>
      <c r="G22" s="170"/>
    </row>
    <row r="23" spans="2:7" ht="36.75" customHeight="1">
      <c r="B23" s="344"/>
      <c r="C23" s="346" t="s">
        <v>236</v>
      </c>
      <c r="D23" s="169">
        <f>17.27+47.19+24.26</f>
        <v>88.72</v>
      </c>
      <c r="E23" s="169">
        <v>1.05</v>
      </c>
      <c r="F23" s="200">
        <v>5</v>
      </c>
      <c r="G23" s="171"/>
    </row>
    <row r="24" spans="2:7" ht="36.75" customHeight="1">
      <c r="B24" s="344"/>
      <c r="C24" s="347"/>
      <c r="D24" s="169">
        <f>25.5+76.5</f>
        <v>102</v>
      </c>
      <c r="E24" s="169">
        <v>3.5</v>
      </c>
      <c r="F24" s="200">
        <v>3</v>
      </c>
      <c r="G24" s="171"/>
    </row>
    <row r="25" spans="2:7" ht="36.75" customHeight="1">
      <c r="B25" s="344"/>
      <c r="C25" s="168" t="s">
        <v>238</v>
      </c>
      <c r="D25" s="172">
        <v>281.12</v>
      </c>
      <c r="E25" s="172">
        <v>7.03</v>
      </c>
      <c r="F25" s="201">
        <v>1</v>
      </c>
      <c r="G25" s="171"/>
    </row>
    <row r="26" spans="2:7" ht="36.75" customHeight="1">
      <c r="B26" s="344"/>
      <c r="C26" s="168" t="s">
        <v>239</v>
      </c>
      <c r="D26" s="169">
        <f>89.08+134.4</f>
        <v>223.48000000000002</v>
      </c>
      <c r="E26" s="169">
        <v>3</v>
      </c>
      <c r="F26" s="200">
        <v>3</v>
      </c>
      <c r="G26" s="170"/>
    </row>
    <row r="27" spans="2:7" ht="36.75" customHeight="1">
      <c r="B27" s="344"/>
      <c r="C27" s="346" t="s">
        <v>240</v>
      </c>
      <c r="D27" s="169">
        <f>24.99</f>
        <v>24.99</v>
      </c>
      <c r="E27" s="169">
        <v>1.05</v>
      </c>
      <c r="F27" s="200">
        <v>2</v>
      </c>
      <c r="G27" s="171"/>
    </row>
    <row r="28" spans="2:7" ht="36.75" customHeight="1">
      <c r="B28" s="344"/>
      <c r="C28" s="348"/>
      <c r="D28" s="169">
        <f>65.6</f>
        <v>65.599999999999994</v>
      </c>
      <c r="E28" s="169">
        <v>1.64</v>
      </c>
      <c r="F28" s="200">
        <v>1</v>
      </c>
      <c r="G28" s="171"/>
    </row>
    <row r="29" spans="2:7" ht="36.75" customHeight="1">
      <c r="B29" s="344"/>
      <c r="C29" s="349"/>
      <c r="D29" s="169">
        <v>0</v>
      </c>
      <c r="E29" s="169">
        <v>3.5</v>
      </c>
      <c r="F29" s="200">
        <v>0</v>
      </c>
      <c r="G29" s="171" t="s">
        <v>73</v>
      </c>
    </row>
    <row r="30" spans="2:7" ht="36.75" customHeight="1">
      <c r="B30" s="344"/>
      <c r="C30" s="346" t="s">
        <v>241</v>
      </c>
      <c r="D30" s="169">
        <v>0</v>
      </c>
      <c r="E30" s="169">
        <v>3.5</v>
      </c>
      <c r="F30" s="200">
        <v>1</v>
      </c>
      <c r="G30" s="171"/>
    </row>
    <row r="31" spans="2:7" ht="41.1" customHeight="1">
      <c r="B31" s="344"/>
      <c r="C31" s="347"/>
      <c r="D31" s="169">
        <v>0</v>
      </c>
      <c r="E31" s="169">
        <v>1.05</v>
      </c>
      <c r="F31" s="202">
        <v>1</v>
      </c>
      <c r="G31" s="171"/>
    </row>
    <row r="32" spans="2:7" ht="36.75" customHeight="1">
      <c r="B32" s="344"/>
      <c r="C32" s="346" t="s">
        <v>242</v>
      </c>
      <c r="D32" s="169">
        <v>165.38</v>
      </c>
      <c r="E32" s="169">
        <v>3</v>
      </c>
      <c r="F32" s="200">
        <v>1</v>
      </c>
      <c r="G32" s="171"/>
    </row>
    <row r="33" spans="2:7" ht="36.75" customHeight="1">
      <c r="B33" s="344"/>
      <c r="C33" s="347"/>
      <c r="D33" s="169">
        <v>0</v>
      </c>
      <c r="E33" s="169">
        <v>10</v>
      </c>
      <c r="F33" s="200">
        <v>0</v>
      </c>
      <c r="G33" s="171" t="s">
        <v>73</v>
      </c>
    </row>
    <row r="34" spans="2:7" ht="36.75" customHeight="1">
      <c r="B34" s="344"/>
      <c r="C34" s="346" t="s">
        <v>243</v>
      </c>
      <c r="D34" s="169">
        <v>0</v>
      </c>
      <c r="E34" s="169">
        <v>10</v>
      </c>
      <c r="F34" s="200">
        <v>1</v>
      </c>
      <c r="G34" s="171"/>
    </row>
    <row r="35" spans="2:7" ht="36.75" customHeight="1">
      <c r="B35" s="344"/>
      <c r="C35" s="349"/>
      <c r="D35" s="169">
        <v>0</v>
      </c>
      <c r="E35" s="169">
        <v>6</v>
      </c>
      <c r="F35" s="200">
        <v>1</v>
      </c>
      <c r="G35" s="171"/>
    </row>
    <row r="36" spans="2:7" ht="36.75" customHeight="1">
      <c r="B36" s="344"/>
      <c r="C36" s="346" t="s">
        <v>244</v>
      </c>
      <c r="D36" s="169">
        <v>0</v>
      </c>
      <c r="E36" s="169">
        <v>3.5</v>
      </c>
      <c r="F36" s="200">
        <v>0</v>
      </c>
      <c r="G36" s="171" t="s">
        <v>73</v>
      </c>
    </row>
    <row r="37" spans="2:7" ht="36.75" customHeight="1">
      <c r="B37" s="344"/>
      <c r="C37" s="347"/>
      <c r="D37" s="169">
        <v>18.149999999999999</v>
      </c>
      <c r="E37" s="169">
        <v>1.05</v>
      </c>
      <c r="F37" s="200">
        <v>4</v>
      </c>
      <c r="G37" s="171"/>
    </row>
    <row r="38" spans="2:7" ht="36.75" customHeight="1">
      <c r="B38" s="344"/>
      <c r="C38" s="168" t="s">
        <v>245</v>
      </c>
      <c r="D38" s="169">
        <v>0</v>
      </c>
      <c r="E38" s="169">
        <v>1.8</v>
      </c>
      <c r="F38" s="200">
        <v>2</v>
      </c>
      <c r="G38" s="170"/>
    </row>
    <row r="39" spans="2:7" ht="36.75" customHeight="1">
      <c r="B39" s="344"/>
      <c r="C39" s="168" t="s">
        <v>246</v>
      </c>
      <c r="D39" s="169">
        <v>0</v>
      </c>
      <c r="E39" s="169">
        <v>4.5</v>
      </c>
      <c r="F39" s="200">
        <v>1</v>
      </c>
      <c r="G39" s="170"/>
    </row>
    <row r="40" spans="2:7" ht="36.75" customHeight="1">
      <c r="B40" s="344"/>
      <c r="C40" s="168" t="s">
        <v>247</v>
      </c>
      <c r="D40" s="169">
        <f>254.52+23.88</f>
        <v>278.40000000000003</v>
      </c>
      <c r="E40" s="169">
        <v>1.8</v>
      </c>
      <c r="F40" s="200">
        <v>4</v>
      </c>
      <c r="G40" s="170"/>
    </row>
    <row r="41" spans="2:7" ht="36.75" customHeight="1">
      <c r="B41" s="344"/>
      <c r="C41" s="174" t="s">
        <v>248</v>
      </c>
      <c r="D41" s="169">
        <v>0</v>
      </c>
      <c r="E41" s="169">
        <v>3</v>
      </c>
      <c r="F41" s="200">
        <v>3</v>
      </c>
      <c r="G41" s="170"/>
    </row>
    <row r="42" spans="2:7" ht="36.75" customHeight="1">
      <c r="B42" s="344"/>
      <c r="C42" s="174" t="s">
        <v>249</v>
      </c>
      <c r="D42" s="169">
        <v>0</v>
      </c>
      <c r="E42" s="169">
        <v>1.05</v>
      </c>
      <c r="F42" s="200">
        <v>3</v>
      </c>
      <c r="G42" s="170"/>
    </row>
    <row r="43" spans="2:7" ht="36.75" customHeight="1">
      <c r="B43" s="344"/>
      <c r="C43" s="174" t="s">
        <v>250</v>
      </c>
      <c r="D43" s="169">
        <v>332.1</v>
      </c>
      <c r="E43" s="169">
        <v>1.23</v>
      </c>
      <c r="F43" s="200">
        <v>1</v>
      </c>
      <c r="G43" s="170"/>
    </row>
    <row r="44" spans="2:7" ht="36.75" customHeight="1">
      <c r="B44" s="344"/>
      <c r="C44" s="168" t="s">
        <v>251</v>
      </c>
      <c r="D44" s="169">
        <f>72+135.28</f>
        <v>207.28</v>
      </c>
      <c r="E44" s="169">
        <v>3</v>
      </c>
      <c r="F44" s="200">
        <v>3</v>
      </c>
      <c r="G44" s="170"/>
    </row>
    <row r="45" spans="2:7" ht="36.75" customHeight="1">
      <c r="B45" s="344"/>
      <c r="C45" s="175" t="s">
        <v>252</v>
      </c>
      <c r="D45" s="169">
        <f>8.91+12.82+49.49</f>
        <v>71.22</v>
      </c>
      <c r="E45" s="169">
        <v>1.8</v>
      </c>
      <c r="F45" s="200">
        <v>6</v>
      </c>
      <c r="G45" s="170"/>
    </row>
    <row r="46" spans="2:7" ht="36.75" customHeight="1">
      <c r="B46" s="344"/>
      <c r="C46" s="175" t="s">
        <v>253</v>
      </c>
      <c r="D46" s="169">
        <v>0</v>
      </c>
      <c r="E46" s="169">
        <v>3.5</v>
      </c>
      <c r="F46" s="200">
        <v>0</v>
      </c>
      <c r="G46" s="171" t="s">
        <v>73</v>
      </c>
    </row>
    <row r="47" spans="2:7" ht="36.75" customHeight="1">
      <c r="B47" s="344"/>
      <c r="C47" s="174" t="s">
        <v>254</v>
      </c>
      <c r="D47" s="169">
        <v>0</v>
      </c>
      <c r="E47" s="169">
        <v>1.05</v>
      </c>
      <c r="F47" s="200">
        <v>1</v>
      </c>
      <c r="G47" s="170"/>
    </row>
    <row r="48" spans="2:7" ht="36.75" customHeight="1">
      <c r="B48" s="344"/>
      <c r="C48" s="174" t="s">
        <v>255</v>
      </c>
      <c r="D48" s="169">
        <v>227.7</v>
      </c>
      <c r="E48" s="169">
        <v>3</v>
      </c>
      <c r="F48" s="200">
        <v>3</v>
      </c>
      <c r="G48" s="170"/>
    </row>
    <row r="49" spans="2:7" ht="36.75" customHeight="1">
      <c r="B49" s="344"/>
      <c r="C49" s="174" t="s">
        <v>256</v>
      </c>
      <c r="D49" s="169">
        <f>32.4+33.32+87.86+62.37</f>
        <v>215.95</v>
      </c>
      <c r="E49" s="169">
        <v>3</v>
      </c>
      <c r="F49" s="200">
        <v>6</v>
      </c>
      <c r="G49" s="170"/>
    </row>
    <row r="50" spans="2:7" ht="36.75" customHeight="1">
      <c r="B50" s="344"/>
      <c r="C50" s="168" t="s">
        <v>257</v>
      </c>
      <c r="D50" s="169">
        <f>207.9+443.1+194.92+1394.4</f>
        <v>2240.3200000000002</v>
      </c>
      <c r="E50" s="169">
        <v>3</v>
      </c>
      <c r="F50" s="200">
        <v>3</v>
      </c>
      <c r="G50" s="170"/>
    </row>
    <row r="51" spans="2:7" ht="36.75" customHeight="1">
      <c r="B51" s="344"/>
      <c r="C51" s="168" t="s">
        <v>257</v>
      </c>
      <c r="D51" s="169">
        <v>1377.1</v>
      </c>
      <c r="E51" s="169">
        <v>3.51</v>
      </c>
      <c r="F51" s="200">
        <v>1</v>
      </c>
      <c r="G51" s="170"/>
    </row>
    <row r="52" spans="2:7" ht="36.75" customHeight="1">
      <c r="B52" s="344"/>
      <c r="C52" s="168" t="s">
        <v>258</v>
      </c>
      <c r="D52" s="169">
        <v>964.32</v>
      </c>
      <c r="E52" s="169">
        <v>1.23</v>
      </c>
      <c r="F52" s="200">
        <v>1</v>
      </c>
      <c r="G52" s="170"/>
    </row>
    <row r="53" spans="2:7" ht="36.75" customHeight="1">
      <c r="B53" s="344"/>
      <c r="C53" s="168" t="s">
        <v>259</v>
      </c>
      <c r="D53" s="169">
        <f>939.75+705.6</f>
        <v>1645.35</v>
      </c>
      <c r="E53" s="169">
        <v>3</v>
      </c>
      <c r="F53" s="200">
        <v>3</v>
      </c>
      <c r="G53" s="170"/>
    </row>
    <row r="54" spans="2:7" ht="36.75" customHeight="1">
      <c r="B54" s="344"/>
      <c r="C54" s="168" t="s">
        <v>260</v>
      </c>
      <c r="D54" s="169">
        <v>0</v>
      </c>
      <c r="E54" s="169">
        <v>1.05</v>
      </c>
      <c r="F54" s="200">
        <v>3</v>
      </c>
      <c r="G54" s="170"/>
    </row>
    <row r="55" spans="2:7" ht="36.75" customHeight="1">
      <c r="B55" s="344"/>
      <c r="C55" s="168" t="s">
        <v>261</v>
      </c>
      <c r="D55" s="169">
        <v>0</v>
      </c>
      <c r="E55" s="169">
        <v>1.05</v>
      </c>
      <c r="F55" s="200">
        <v>0</v>
      </c>
      <c r="G55" s="171" t="s">
        <v>73</v>
      </c>
    </row>
    <row r="56" spans="2:7" ht="36.75" customHeight="1">
      <c r="B56" s="344"/>
      <c r="C56" s="168" t="s">
        <v>262</v>
      </c>
      <c r="D56" s="169">
        <v>0</v>
      </c>
      <c r="E56" s="169">
        <v>3</v>
      </c>
      <c r="F56" s="200">
        <v>0</v>
      </c>
      <c r="G56" s="171" t="s">
        <v>73</v>
      </c>
    </row>
    <row r="57" spans="2:7" ht="36.75" customHeight="1">
      <c r="B57" s="344"/>
      <c r="C57" s="168" t="s">
        <v>263</v>
      </c>
      <c r="D57" s="169">
        <v>43.04</v>
      </c>
      <c r="E57" s="169">
        <v>3</v>
      </c>
      <c r="F57" s="200">
        <v>3</v>
      </c>
      <c r="G57" s="170"/>
    </row>
    <row r="58" spans="2:7" ht="36.75" customHeight="1">
      <c r="B58" s="344"/>
      <c r="C58" s="174" t="s">
        <v>264</v>
      </c>
      <c r="D58" s="169">
        <f>229.96+113.4</f>
        <v>343.36</v>
      </c>
      <c r="E58" s="169">
        <v>3</v>
      </c>
      <c r="F58" s="200">
        <v>2</v>
      </c>
      <c r="G58" s="170"/>
    </row>
    <row r="59" spans="2:7" ht="36.75" customHeight="1">
      <c r="B59" s="344"/>
      <c r="C59" s="174" t="s">
        <v>265</v>
      </c>
      <c r="D59" s="169">
        <v>24.99</v>
      </c>
      <c r="E59" s="169">
        <v>1.05</v>
      </c>
      <c r="F59" s="200">
        <v>2</v>
      </c>
      <c r="G59" s="170"/>
    </row>
    <row r="60" spans="2:7" ht="36.75" customHeight="1">
      <c r="B60" s="344"/>
      <c r="C60" s="174" t="s">
        <v>265</v>
      </c>
      <c r="D60" s="169">
        <v>0</v>
      </c>
      <c r="E60" s="169">
        <v>3.5</v>
      </c>
      <c r="F60" s="200">
        <v>1</v>
      </c>
      <c r="G60" s="171"/>
    </row>
    <row r="61" spans="2:7" ht="36.75" customHeight="1">
      <c r="B61" s="344"/>
      <c r="C61" s="174" t="s">
        <v>266</v>
      </c>
      <c r="D61" s="169">
        <f>106.5+157.5</f>
        <v>264</v>
      </c>
      <c r="E61" s="169">
        <v>3</v>
      </c>
      <c r="F61" s="202">
        <v>2</v>
      </c>
      <c r="G61" s="170"/>
    </row>
    <row r="62" spans="2:7" ht="29.25" customHeight="1">
      <c r="B62" s="344"/>
      <c r="C62" s="174" t="s">
        <v>267</v>
      </c>
      <c r="D62" s="169">
        <f>198.92+118.32</f>
        <v>317.24</v>
      </c>
      <c r="E62" s="169">
        <v>3</v>
      </c>
      <c r="F62" s="200">
        <v>3</v>
      </c>
      <c r="G62" s="170"/>
    </row>
    <row r="63" spans="2:7" ht="29.25" customHeight="1">
      <c r="B63" s="344"/>
      <c r="C63" s="174" t="s">
        <v>268</v>
      </c>
      <c r="D63" s="169">
        <v>368.97</v>
      </c>
      <c r="E63" s="169">
        <v>5.27</v>
      </c>
      <c r="F63" s="200">
        <v>1</v>
      </c>
      <c r="G63" s="170"/>
    </row>
    <row r="64" spans="2:7" ht="29.25" customHeight="1">
      <c r="B64" s="344"/>
      <c r="C64" s="174" t="s">
        <v>269</v>
      </c>
      <c r="D64" s="169">
        <f>90.61+147.63</f>
        <v>238.24</v>
      </c>
      <c r="E64" s="169">
        <v>1.8</v>
      </c>
      <c r="F64" s="200">
        <v>1</v>
      </c>
      <c r="G64" s="170"/>
    </row>
    <row r="65" spans="2:10" ht="29.25" customHeight="1">
      <c r="B65" s="344"/>
      <c r="C65" s="174" t="s">
        <v>270</v>
      </c>
      <c r="D65" s="169">
        <v>239.42</v>
      </c>
      <c r="E65" s="169">
        <v>1.8</v>
      </c>
      <c r="F65" s="200">
        <v>2</v>
      </c>
      <c r="G65" s="170"/>
    </row>
    <row r="66" spans="2:10" ht="29.25" customHeight="1">
      <c r="B66" s="344"/>
      <c r="C66" s="174" t="s">
        <v>271</v>
      </c>
      <c r="D66" s="169">
        <v>0</v>
      </c>
      <c r="E66" s="169">
        <v>1.8</v>
      </c>
      <c r="F66" s="200">
        <v>1</v>
      </c>
      <c r="G66" s="170"/>
    </row>
    <row r="67" spans="2:10" ht="29.25" customHeight="1">
      <c r="B67" s="344"/>
      <c r="C67" s="174" t="s">
        <v>272</v>
      </c>
      <c r="D67" s="169">
        <v>0</v>
      </c>
      <c r="E67" s="169">
        <v>1.05</v>
      </c>
      <c r="F67" s="200">
        <v>1</v>
      </c>
      <c r="G67" s="170"/>
    </row>
    <row r="68" spans="2:10" ht="29.25" customHeight="1">
      <c r="B68" s="344"/>
      <c r="C68" s="174" t="s">
        <v>273</v>
      </c>
      <c r="D68" s="169">
        <v>0</v>
      </c>
      <c r="E68" s="169">
        <v>1.8</v>
      </c>
      <c r="F68" s="200">
        <v>1</v>
      </c>
      <c r="G68" s="170"/>
    </row>
    <row r="69" spans="2:10" ht="29.25" customHeight="1">
      <c r="B69" s="344"/>
      <c r="C69" s="174" t="s">
        <v>274</v>
      </c>
      <c r="D69" s="169">
        <v>0</v>
      </c>
      <c r="E69" s="169">
        <v>1.05</v>
      </c>
      <c r="F69" s="202">
        <v>1</v>
      </c>
      <c r="G69" s="170"/>
    </row>
    <row r="70" spans="2:10" ht="29.25" customHeight="1">
      <c r="B70" s="344"/>
      <c r="C70" s="174" t="s">
        <v>275</v>
      </c>
      <c r="D70" s="169">
        <v>0</v>
      </c>
      <c r="E70" s="169">
        <v>6</v>
      </c>
      <c r="F70" s="200">
        <v>0</v>
      </c>
      <c r="G70" s="171" t="s">
        <v>73</v>
      </c>
    </row>
    <row r="71" spans="2:10" ht="29.25" customHeight="1">
      <c r="B71" s="344"/>
      <c r="C71" s="174" t="s">
        <v>276</v>
      </c>
      <c r="D71" s="169">
        <v>195.3</v>
      </c>
      <c r="E71" s="169">
        <v>1.8</v>
      </c>
      <c r="F71" s="200">
        <v>3</v>
      </c>
      <c r="G71" s="170"/>
    </row>
    <row r="72" spans="2:10" ht="29.25" customHeight="1">
      <c r="B72" s="344"/>
      <c r="C72" s="174" t="s">
        <v>277</v>
      </c>
      <c r="D72" s="169">
        <v>0</v>
      </c>
      <c r="E72" s="169">
        <v>1.05</v>
      </c>
      <c r="F72" s="200">
        <v>2</v>
      </c>
      <c r="G72" s="170"/>
    </row>
    <row r="73" spans="2:10" ht="29.25" customHeight="1">
      <c r="B73" s="345"/>
      <c r="C73" s="174" t="s">
        <v>278</v>
      </c>
      <c r="D73" s="169">
        <v>0</v>
      </c>
      <c r="E73" s="169">
        <v>1.05</v>
      </c>
      <c r="F73" s="200">
        <v>2</v>
      </c>
      <c r="G73" s="170"/>
    </row>
    <row r="74" spans="2:10" ht="25.5" customHeight="1">
      <c r="B74" s="176" t="s">
        <v>51</v>
      </c>
      <c r="C74" s="174"/>
      <c r="D74" s="177">
        <f>SUM(D8:D73)</f>
        <v>18393.000000000004</v>
      </c>
      <c r="E74" s="177">
        <f>SUM(E8:E73)</f>
        <v>201.63000000000011</v>
      </c>
      <c r="F74" s="203">
        <f>SUM(F8:F73)</f>
        <v>123</v>
      </c>
      <c r="G74" s="178"/>
    </row>
    <row r="75" spans="2:10" ht="28.8">
      <c r="B75" s="350" t="s">
        <v>52</v>
      </c>
      <c r="C75" s="179" t="s">
        <v>279</v>
      </c>
      <c r="D75" s="172">
        <v>0</v>
      </c>
      <c r="E75" s="172">
        <v>42</v>
      </c>
      <c r="F75" s="204">
        <v>4</v>
      </c>
      <c r="G75" s="171" t="s">
        <v>280</v>
      </c>
    </row>
    <row r="76" spans="2:10" ht="28.8">
      <c r="B76" s="344"/>
      <c r="C76" s="179" t="s">
        <v>281</v>
      </c>
      <c r="D76" s="169">
        <v>124</v>
      </c>
      <c r="E76" s="169">
        <v>124</v>
      </c>
      <c r="F76" s="200">
        <v>1</v>
      </c>
      <c r="G76" s="180"/>
    </row>
    <row r="77" spans="2:10" ht="25.5" customHeight="1">
      <c r="B77" s="344"/>
      <c r="C77" s="179" t="s">
        <v>282</v>
      </c>
      <c r="D77" s="169">
        <v>0</v>
      </c>
      <c r="E77" s="169">
        <v>37</v>
      </c>
      <c r="F77" s="200">
        <v>2</v>
      </c>
      <c r="G77" s="171" t="s">
        <v>280</v>
      </c>
    </row>
    <row r="78" spans="2:10" ht="24" customHeight="1">
      <c r="B78" s="351"/>
      <c r="C78" s="179" t="s">
        <v>283</v>
      </c>
      <c r="D78" s="169">
        <v>0</v>
      </c>
      <c r="E78" s="169">
        <v>17</v>
      </c>
      <c r="F78" s="200">
        <v>0</v>
      </c>
      <c r="G78" s="180" t="s">
        <v>284</v>
      </c>
    </row>
    <row r="79" spans="2:10" ht="25.5" customHeight="1">
      <c r="B79" s="176" t="s">
        <v>51</v>
      </c>
      <c r="C79" s="179"/>
      <c r="D79" s="181">
        <f>SUM(D75:D78)</f>
        <v>124</v>
      </c>
      <c r="E79" s="181">
        <f>SUM(E75:E78)</f>
        <v>220</v>
      </c>
      <c r="F79" s="205">
        <f>SUM(F75:F78)</f>
        <v>7</v>
      </c>
      <c r="G79" s="178"/>
      <c r="H79" s="182"/>
      <c r="I79" s="182"/>
      <c r="J79" s="182"/>
    </row>
    <row r="80" spans="2:10" ht="31.5" customHeight="1">
      <c r="B80" s="355" t="s">
        <v>56</v>
      </c>
      <c r="C80" s="356"/>
      <c r="D80" s="356"/>
      <c r="E80" s="356"/>
      <c r="F80" s="356"/>
      <c r="G80" s="357"/>
    </row>
    <row r="81" spans="2:7" s="183" customFormat="1" ht="53.25" customHeight="1">
      <c r="B81" s="165" t="s">
        <v>4</v>
      </c>
      <c r="C81" s="165" t="s">
        <v>57</v>
      </c>
      <c r="D81" s="166" t="s">
        <v>6</v>
      </c>
      <c r="E81" s="166" t="s">
        <v>58</v>
      </c>
      <c r="F81" s="165" t="s">
        <v>8</v>
      </c>
      <c r="G81" s="167" t="s">
        <v>59</v>
      </c>
    </row>
    <row r="82" spans="2:7" ht="33" customHeight="1">
      <c r="B82" s="179" t="s">
        <v>60</v>
      </c>
      <c r="C82" s="184"/>
      <c r="D82" s="197">
        <v>0</v>
      </c>
      <c r="E82" s="197">
        <v>0</v>
      </c>
      <c r="F82" s="201">
        <v>0</v>
      </c>
      <c r="G82" s="180" t="s">
        <v>284</v>
      </c>
    </row>
    <row r="83" spans="2:7" ht="24.75" customHeight="1">
      <c r="B83" s="176" t="s">
        <v>51</v>
      </c>
      <c r="C83" s="185"/>
      <c r="D83" s="186">
        <f>SUM(D82)</f>
        <v>0</v>
      </c>
      <c r="E83" s="186">
        <f>SUM(E82)</f>
        <v>0</v>
      </c>
      <c r="F83" s="206">
        <f>SUM(F82)</f>
        <v>0</v>
      </c>
      <c r="G83" s="170"/>
    </row>
    <row r="84" spans="2:7" ht="28.5" customHeight="1">
      <c r="B84" s="352" t="s">
        <v>61</v>
      </c>
      <c r="C84" s="179" t="s">
        <v>285</v>
      </c>
      <c r="D84" s="198">
        <f>78+7105.91+3461+476+578+901.67+338.3+148+520.86+85+85</f>
        <v>13777.74</v>
      </c>
      <c r="E84" s="198">
        <v>13587</v>
      </c>
      <c r="F84" s="207">
        <v>162</v>
      </c>
      <c r="G84" s="171" t="s">
        <v>286</v>
      </c>
    </row>
    <row r="85" spans="2:7" ht="28.5" customHeight="1">
      <c r="B85" s="353"/>
      <c r="C85" s="179" t="s">
        <v>287</v>
      </c>
      <c r="D85" s="198">
        <f>4500+200+800+588.93+178+345.2+146.13</f>
        <v>6758.26</v>
      </c>
      <c r="E85" s="198">
        <v>6600</v>
      </c>
      <c r="F85" s="207">
        <v>66</v>
      </c>
      <c r="G85" s="171" t="s">
        <v>286</v>
      </c>
    </row>
    <row r="86" spans="2:7" ht="28.5" customHeight="1">
      <c r="B86" s="353"/>
      <c r="C86" s="179" t="s">
        <v>288</v>
      </c>
      <c r="D86" s="198">
        <f>818+171+49+79+189.14+60+23</f>
        <v>1389.1399999999999</v>
      </c>
      <c r="E86" s="198">
        <v>1363</v>
      </c>
      <c r="F86" s="207">
        <v>27</v>
      </c>
      <c r="G86" s="171" t="s">
        <v>286</v>
      </c>
    </row>
    <row r="87" spans="2:7" ht="28.5" customHeight="1">
      <c r="B87" s="353"/>
      <c r="C87" s="179" t="s">
        <v>289</v>
      </c>
      <c r="D87" s="197">
        <f>748</f>
        <v>748</v>
      </c>
      <c r="E87" s="197">
        <v>929</v>
      </c>
      <c r="F87" s="207">
        <v>9</v>
      </c>
      <c r="G87" s="171"/>
    </row>
    <row r="88" spans="2:7" ht="28.5" customHeight="1">
      <c r="B88" s="354"/>
      <c r="C88" s="179" t="s">
        <v>290</v>
      </c>
      <c r="D88" s="197">
        <f>2251.28+54</f>
        <v>2305.2800000000002</v>
      </c>
      <c r="E88" s="197">
        <v>2802</v>
      </c>
      <c r="F88" s="207">
        <v>52</v>
      </c>
      <c r="G88" s="171"/>
    </row>
    <row r="89" spans="2:7" ht="28.5" customHeight="1">
      <c r="B89" s="176" t="s">
        <v>51</v>
      </c>
      <c r="C89" s="185"/>
      <c r="D89" s="199">
        <f>SUM(D84:D88)</f>
        <v>24978.42</v>
      </c>
      <c r="E89" s="199">
        <f>SUM(E84:E88)</f>
        <v>25281</v>
      </c>
      <c r="F89" s="208">
        <f>SUM(F84:F88)</f>
        <v>316</v>
      </c>
      <c r="G89" s="170"/>
    </row>
    <row r="90" spans="2:7" ht="24" customHeight="1">
      <c r="B90" s="352" t="s">
        <v>63</v>
      </c>
      <c r="C90" s="179" t="s">
        <v>291</v>
      </c>
      <c r="D90" s="197">
        <v>1894.62</v>
      </c>
      <c r="E90" s="197">
        <v>1894.62</v>
      </c>
      <c r="F90" s="200">
        <v>1</v>
      </c>
      <c r="G90" s="171"/>
    </row>
    <row r="91" spans="2:7" ht="24" customHeight="1">
      <c r="B91" s="353"/>
      <c r="C91" s="179" t="s">
        <v>292</v>
      </c>
      <c r="D91" s="197">
        <v>0</v>
      </c>
      <c r="E91" s="197">
        <v>0</v>
      </c>
      <c r="F91" s="200">
        <v>0</v>
      </c>
      <c r="G91" s="180" t="s">
        <v>284</v>
      </c>
    </row>
    <row r="92" spans="2:7" ht="24" customHeight="1">
      <c r="B92" s="354"/>
      <c r="C92" s="179" t="s">
        <v>293</v>
      </c>
      <c r="D92" s="197">
        <v>70958.759999999995</v>
      </c>
      <c r="E92" s="197">
        <v>70958.759999999995</v>
      </c>
      <c r="F92" s="200">
        <v>1</v>
      </c>
      <c r="G92" s="171"/>
    </row>
    <row r="93" spans="2:7" ht="27" customHeight="1">
      <c r="B93" s="176" t="s">
        <v>51</v>
      </c>
      <c r="C93" s="185"/>
      <c r="D93" s="199">
        <f>SUM(D90:D92)</f>
        <v>72853.37999999999</v>
      </c>
      <c r="E93" s="199">
        <f>SUM(E90:E92)</f>
        <v>72853.37999999999</v>
      </c>
      <c r="F93" s="208">
        <f>SUM(F90:F92)</f>
        <v>2</v>
      </c>
      <c r="G93" s="170"/>
    </row>
    <row r="94" spans="2:7" ht="30" customHeight="1">
      <c r="B94" s="352" t="s">
        <v>65</v>
      </c>
      <c r="C94" s="179" t="s">
        <v>294</v>
      </c>
      <c r="D94" s="197">
        <v>3144.65</v>
      </c>
      <c r="E94" s="197">
        <v>3144.65</v>
      </c>
      <c r="F94" s="200">
        <v>1</v>
      </c>
      <c r="G94" s="170"/>
    </row>
    <row r="95" spans="2:7" ht="32.4" customHeight="1">
      <c r="B95" s="354"/>
      <c r="C95" s="187" t="s">
        <v>295</v>
      </c>
      <c r="D95" s="197">
        <v>346.27</v>
      </c>
      <c r="E95" s="197">
        <v>692.55</v>
      </c>
      <c r="F95" s="200">
        <v>1</v>
      </c>
      <c r="G95" s="170"/>
    </row>
    <row r="96" spans="2:7" ht="24" customHeight="1">
      <c r="B96" s="176" t="s">
        <v>51</v>
      </c>
      <c r="C96" s="185"/>
      <c r="D96" s="199">
        <f>SUM(D94:D95)</f>
        <v>3490.92</v>
      </c>
      <c r="E96" s="199">
        <f>SUM(E94:E95)</f>
        <v>3837.2</v>
      </c>
      <c r="F96" s="208">
        <f>SUM(F94:F95)</f>
        <v>2</v>
      </c>
      <c r="G96" s="170"/>
    </row>
    <row r="97" spans="2:7" ht="30.75" customHeight="1">
      <c r="B97" s="179" t="s">
        <v>68</v>
      </c>
      <c r="C97" s="188"/>
      <c r="D97" s="197">
        <v>0</v>
      </c>
      <c r="E97" s="197">
        <v>0</v>
      </c>
      <c r="F97" s="201">
        <v>0</v>
      </c>
      <c r="G97" s="180" t="s">
        <v>284</v>
      </c>
    </row>
    <row r="98" spans="2:7" ht="30" customHeight="1">
      <c r="B98" s="176" t="s">
        <v>51</v>
      </c>
      <c r="C98" s="185"/>
      <c r="D98" s="186">
        <f>SUM(D97)</f>
        <v>0</v>
      </c>
      <c r="E98" s="186">
        <f>SUM(E97)</f>
        <v>0</v>
      </c>
      <c r="F98" s="206">
        <f>SUM(F97)</f>
        <v>0</v>
      </c>
      <c r="G98" s="170"/>
    </row>
    <row r="99" spans="2:7" ht="17.25" customHeight="1">
      <c r="B99" s="189"/>
      <c r="C99" s="189"/>
      <c r="D99" s="189"/>
      <c r="E99" s="189"/>
      <c r="F99" s="189"/>
      <c r="G99" s="189"/>
    </row>
    <row r="100" spans="2:7" s="183" customFormat="1" ht="28.8">
      <c r="B100" s="176" t="s">
        <v>296</v>
      </c>
      <c r="C100" s="190"/>
      <c r="D100" s="177">
        <f>D74+D79+D83+D89+D93+D96+D98</f>
        <v>119839.71999999999</v>
      </c>
      <c r="E100" s="177">
        <f>E74+E79+E83+E89+E93+E96+E98</f>
        <v>102393.20999999999</v>
      </c>
      <c r="F100" s="209">
        <f>F74+F79+F83+F89+F93+F96+F98</f>
        <v>450</v>
      </c>
      <c r="G100" s="170"/>
    </row>
    <row r="101" spans="2:7">
      <c r="B101" s="191"/>
      <c r="C101" s="192"/>
      <c r="D101" s="193"/>
      <c r="E101" s="193"/>
      <c r="F101" s="194"/>
    </row>
    <row r="102" spans="2:7">
      <c r="B102" s="191"/>
      <c r="C102" s="192"/>
      <c r="D102" s="193"/>
      <c r="E102" s="193"/>
      <c r="F102" s="194"/>
    </row>
    <row r="103" spans="2:7">
      <c r="B103" s="195" t="s">
        <v>299</v>
      </c>
      <c r="C103" s="161"/>
      <c r="D103" s="161"/>
      <c r="E103" s="161"/>
    </row>
    <row r="104" spans="2:7">
      <c r="B104" s="196"/>
      <c r="C104" s="161"/>
      <c r="D104" s="161"/>
      <c r="E104" s="161"/>
    </row>
    <row r="105" spans="2:7">
      <c r="B105" s="157" t="s">
        <v>75</v>
      </c>
      <c r="C105" s="161"/>
      <c r="D105" s="161"/>
      <c r="E105" s="161"/>
    </row>
    <row r="106" spans="2:7">
      <c r="B106" s="157" t="s">
        <v>297</v>
      </c>
      <c r="C106" s="161"/>
      <c r="D106" s="161"/>
      <c r="E106" s="161"/>
    </row>
    <row r="107" spans="2:7">
      <c r="B107" s="157" t="s">
        <v>298</v>
      </c>
      <c r="C107" s="161"/>
      <c r="D107" s="161"/>
      <c r="E107" s="161"/>
    </row>
    <row r="108" spans="2:7">
      <c r="C108" s="161"/>
      <c r="D108" s="161"/>
      <c r="E108" s="161"/>
    </row>
    <row r="109" spans="2:7">
      <c r="B109" s="161" t="s">
        <v>167</v>
      </c>
      <c r="C109" s="161"/>
      <c r="D109" s="161"/>
      <c r="E109" s="161"/>
    </row>
    <row r="110" spans="2:7">
      <c r="B110" s="161"/>
      <c r="C110" s="161"/>
      <c r="D110" s="161"/>
      <c r="E110" s="161"/>
    </row>
    <row r="111" spans="2:7">
      <c r="B111" s="161" t="s">
        <v>76</v>
      </c>
      <c r="C111" s="183"/>
      <c r="D111" s="161"/>
      <c r="E111" s="161"/>
    </row>
    <row r="112" spans="2:7" ht="15.75" customHeight="1"/>
  </sheetData>
  <mergeCells count="15">
    <mergeCell ref="B75:B78"/>
    <mergeCell ref="B84:B88"/>
    <mergeCell ref="B90:B92"/>
    <mergeCell ref="B94:B95"/>
    <mergeCell ref="B80:G80"/>
    <mergeCell ref="B4:G4"/>
    <mergeCell ref="B5:G5"/>
    <mergeCell ref="B6:G6"/>
    <mergeCell ref="B8:B73"/>
    <mergeCell ref="C23:C24"/>
    <mergeCell ref="C27:C29"/>
    <mergeCell ref="C30:C31"/>
    <mergeCell ref="C32:C33"/>
    <mergeCell ref="C34:C35"/>
    <mergeCell ref="C36:C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9CE1-DCD0-4436-90D7-E472C7126558}">
  <dimension ref="A1:J80"/>
  <sheetViews>
    <sheetView topLeftCell="A61" workbookViewId="0">
      <selection activeCell="B83" sqref="B83"/>
    </sheetView>
  </sheetViews>
  <sheetFormatPr defaultColWidth="9.21875" defaultRowHeight="14.4"/>
  <cols>
    <col min="1" max="1" width="3.44140625" customWidth="1"/>
    <col min="2" max="2" width="45.21875" customWidth="1"/>
    <col min="3" max="3" width="31.21875" style="34" customWidth="1"/>
    <col min="4" max="4" width="16.77734375" style="34" customWidth="1"/>
    <col min="5" max="5" width="24.77734375" style="12" customWidth="1"/>
    <col min="6" max="6" width="15.21875" style="34" customWidth="1"/>
    <col min="7" max="7" width="45.21875" customWidth="1"/>
    <col min="8" max="8" width="11.5546875" bestFit="1" customWidth="1"/>
    <col min="9" max="9" width="12.77734375" customWidth="1"/>
  </cols>
  <sheetData>
    <row r="1" spans="2:9" ht="30" customHeight="1">
      <c r="B1" s="1" t="s">
        <v>0</v>
      </c>
    </row>
    <row r="2" spans="2:9" ht="25.5" customHeight="1">
      <c r="B2" s="35" t="s">
        <v>77</v>
      </c>
      <c r="D2" s="36"/>
      <c r="E2" s="36"/>
    </row>
    <row r="3" spans="2:9" ht="12.75" customHeight="1">
      <c r="B3" s="1"/>
      <c r="D3" s="36"/>
      <c r="E3" s="36"/>
    </row>
    <row r="4" spans="2:9" ht="32.25" customHeight="1">
      <c r="B4" s="302" t="s">
        <v>78</v>
      </c>
      <c r="C4" s="302"/>
      <c r="D4" s="302"/>
      <c r="E4" s="302"/>
      <c r="F4" s="302"/>
      <c r="G4" s="302"/>
    </row>
    <row r="5" spans="2:9" ht="31.5" customHeight="1">
      <c r="B5" s="302" t="s">
        <v>79</v>
      </c>
      <c r="C5" s="302"/>
      <c r="D5" s="302"/>
      <c r="E5" s="302"/>
      <c r="F5" s="302"/>
      <c r="G5" s="302"/>
    </row>
    <row r="6" spans="2:9" ht="26.25" customHeight="1">
      <c r="B6" s="303" t="s">
        <v>3</v>
      </c>
      <c r="C6" s="303"/>
      <c r="D6" s="303"/>
      <c r="E6" s="303"/>
      <c r="F6" s="303"/>
      <c r="G6" s="303"/>
    </row>
    <row r="7" spans="2:9" ht="63.75" customHeight="1">
      <c r="B7" s="37" t="s">
        <v>4</v>
      </c>
      <c r="C7" s="32" t="s">
        <v>5</v>
      </c>
      <c r="D7" s="32" t="s">
        <v>6</v>
      </c>
      <c r="E7" s="32" t="s">
        <v>7</v>
      </c>
      <c r="F7" s="32" t="s">
        <v>8</v>
      </c>
      <c r="G7" s="32" t="s">
        <v>9</v>
      </c>
    </row>
    <row r="8" spans="2:9" ht="36.75" customHeight="1">
      <c r="B8" s="315" t="s">
        <v>10</v>
      </c>
      <c r="C8" s="8" t="s">
        <v>80</v>
      </c>
      <c r="D8" s="50">
        <v>310.87</v>
      </c>
      <c r="E8" s="51">
        <v>3.15</v>
      </c>
      <c r="F8" s="59">
        <v>2</v>
      </c>
      <c r="G8" s="39"/>
    </row>
    <row r="9" spans="2:9" ht="36.75" customHeight="1">
      <c r="B9" s="315"/>
      <c r="C9" s="8" t="s">
        <v>81</v>
      </c>
      <c r="D9" s="50">
        <v>771.12</v>
      </c>
      <c r="E9" s="51">
        <v>3.15</v>
      </c>
      <c r="F9" s="59">
        <v>2</v>
      </c>
      <c r="G9" s="40"/>
      <c r="H9" s="41"/>
    </row>
    <row r="10" spans="2:9" ht="36.75" customHeight="1">
      <c r="B10" s="315"/>
      <c r="C10" s="8" t="s">
        <v>82</v>
      </c>
      <c r="D10" s="50">
        <v>415.01</v>
      </c>
      <c r="E10" s="51">
        <v>3.15</v>
      </c>
      <c r="F10" s="59">
        <v>1</v>
      </c>
      <c r="G10" s="40"/>
      <c r="H10" s="41"/>
    </row>
    <row r="11" spans="2:9" ht="36.75" customHeight="1">
      <c r="B11" s="315"/>
      <c r="C11" s="8" t="s">
        <v>83</v>
      </c>
      <c r="D11" s="50">
        <v>44.1</v>
      </c>
      <c r="E11" s="51">
        <v>2.25</v>
      </c>
      <c r="F11" s="59">
        <v>1</v>
      </c>
      <c r="G11" s="40"/>
      <c r="H11" s="41"/>
    </row>
    <row r="12" spans="2:9" ht="36.75" customHeight="1">
      <c r="B12" s="315"/>
      <c r="C12" s="8" t="s">
        <v>84</v>
      </c>
      <c r="D12" s="50">
        <v>515.5</v>
      </c>
      <c r="E12" s="51">
        <v>2.25</v>
      </c>
      <c r="F12" s="59">
        <v>2</v>
      </c>
      <c r="G12" s="40"/>
      <c r="I12" s="41"/>
    </row>
    <row r="13" spans="2:9" ht="36.75" customHeight="1">
      <c r="B13" s="315"/>
      <c r="C13" s="8" t="s">
        <v>85</v>
      </c>
      <c r="D13" s="50">
        <v>333.55</v>
      </c>
      <c r="E13" s="51">
        <v>3.15</v>
      </c>
      <c r="F13" s="59">
        <v>7</v>
      </c>
      <c r="G13" s="40"/>
      <c r="H13" s="41"/>
    </row>
    <row r="14" spans="2:9" ht="36.75" customHeight="1">
      <c r="B14" s="315"/>
      <c r="C14" s="8" t="s">
        <v>86</v>
      </c>
      <c r="D14" s="50">
        <v>1054.55</v>
      </c>
      <c r="E14" s="52">
        <v>2.25</v>
      </c>
      <c r="F14" s="59">
        <v>3</v>
      </c>
      <c r="G14" s="40"/>
      <c r="H14" s="41"/>
    </row>
    <row r="15" spans="2:9" ht="36.75" customHeight="1">
      <c r="B15" s="315"/>
      <c r="C15" s="8" t="s">
        <v>86</v>
      </c>
      <c r="D15" s="50">
        <v>0</v>
      </c>
      <c r="E15" s="51">
        <v>2.25</v>
      </c>
      <c r="F15" s="59">
        <v>0</v>
      </c>
      <c r="G15" s="40" t="s">
        <v>73</v>
      </c>
      <c r="H15" s="41"/>
    </row>
    <row r="16" spans="2:9" ht="36.75" customHeight="1">
      <c r="B16" s="315"/>
      <c r="C16" s="8" t="s">
        <v>87</v>
      </c>
      <c r="D16" s="50">
        <v>1193.8499999999999</v>
      </c>
      <c r="E16" s="51">
        <v>2.5499999999999998</v>
      </c>
      <c r="F16" s="59">
        <v>5</v>
      </c>
      <c r="G16" s="40"/>
    </row>
    <row r="17" spans="2:9" ht="36.75" customHeight="1">
      <c r="B17" s="315"/>
      <c r="C17" s="8" t="s">
        <v>88</v>
      </c>
      <c r="D17" s="50">
        <v>660.24</v>
      </c>
      <c r="E17" s="51">
        <v>2.25</v>
      </c>
      <c r="F17" s="59">
        <v>3</v>
      </c>
      <c r="G17" s="42"/>
    </row>
    <row r="18" spans="2:9" ht="36.75" customHeight="1">
      <c r="B18" s="315"/>
      <c r="C18" s="8" t="s">
        <v>89</v>
      </c>
      <c r="D18" s="50">
        <v>80.64</v>
      </c>
      <c r="E18" s="51">
        <v>2.25</v>
      </c>
      <c r="F18" s="59">
        <v>1</v>
      </c>
      <c r="G18" s="39"/>
    </row>
    <row r="19" spans="2:9" ht="36.75" customHeight="1">
      <c r="B19" s="315"/>
      <c r="C19" s="8" t="s">
        <v>90</v>
      </c>
      <c r="D19" s="50">
        <v>643.88</v>
      </c>
      <c r="E19" s="51">
        <v>3.15</v>
      </c>
      <c r="F19" s="59">
        <v>6</v>
      </c>
      <c r="G19" s="40"/>
      <c r="H19" s="41"/>
    </row>
    <row r="20" spans="2:9" ht="36.75" customHeight="1">
      <c r="B20" s="315"/>
      <c r="C20" s="8" t="s">
        <v>91</v>
      </c>
      <c r="D20" s="50">
        <v>4387.5</v>
      </c>
      <c r="E20" s="51">
        <v>2.25</v>
      </c>
      <c r="F20" s="59">
        <v>1</v>
      </c>
      <c r="G20" s="40"/>
      <c r="H20" s="41"/>
    </row>
    <row r="21" spans="2:9" ht="36.75" customHeight="1">
      <c r="B21" s="315"/>
      <c r="C21" s="8" t="s">
        <v>92</v>
      </c>
      <c r="D21" s="50">
        <v>4005.67</v>
      </c>
      <c r="E21" s="51">
        <v>2.25</v>
      </c>
      <c r="F21" s="59">
        <v>3</v>
      </c>
      <c r="G21" s="39"/>
    </row>
    <row r="22" spans="2:9" ht="36.75" customHeight="1">
      <c r="B22" s="315"/>
      <c r="C22" s="8" t="s">
        <v>92</v>
      </c>
      <c r="D22" s="50">
        <v>0</v>
      </c>
      <c r="E22" s="51">
        <v>2.25</v>
      </c>
      <c r="F22" s="59">
        <v>0</v>
      </c>
      <c r="G22" s="40" t="s">
        <v>73</v>
      </c>
    </row>
    <row r="23" spans="2:9" ht="36.75" customHeight="1">
      <c r="B23" s="315"/>
      <c r="C23" s="8" t="s">
        <v>93</v>
      </c>
      <c r="D23" s="50">
        <v>4470.6899999999996</v>
      </c>
      <c r="E23" s="51">
        <v>3.15</v>
      </c>
      <c r="F23" s="59">
        <v>3</v>
      </c>
      <c r="G23" s="39"/>
    </row>
    <row r="24" spans="2:9" ht="36.75" customHeight="1">
      <c r="B24" s="315"/>
      <c r="C24" s="8" t="s">
        <v>94</v>
      </c>
      <c r="D24" s="50">
        <v>1270.93</v>
      </c>
      <c r="E24" s="51">
        <v>3.15</v>
      </c>
      <c r="F24" s="59">
        <v>7</v>
      </c>
      <c r="G24" s="40"/>
      <c r="H24" s="41"/>
    </row>
    <row r="25" spans="2:9" ht="36.75" customHeight="1">
      <c r="B25" s="315"/>
      <c r="C25" s="8" t="s">
        <v>95</v>
      </c>
      <c r="D25" s="50">
        <v>199.33</v>
      </c>
      <c r="E25" s="51">
        <v>2.25</v>
      </c>
      <c r="F25" s="59">
        <v>1</v>
      </c>
      <c r="G25" s="40"/>
      <c r="H25" s="41"/>
    </row>
    <row r="26" spans="2:9" ht="36.75" customHeight="1">
      <c r="B26" s="315"/>
      <c r="C26" s="8" t="s">
        <v>95</v>
      </c>
      <c r="D26" s="50">
        <v>0</v>
      </c>
      <c r="E26" s="51">
        <v>2.25</v>
      </c>
      <c r="F26" s="59">
        <v>0</v>
      </c>
      <c r="G26" s="40" t="s">
        <v>73</v>
      </c>
    </row>
    <row r="27" spans="2:9" ht="36.75" customHeight="1">
      <c r="B27" s="315"/>
      <c r="C27" s="8" t="s">
        <v>96</v>
      </c>
      <c r="D27" s="50">
        <v>34.020000000000003</v>
      </c>
      <c r="E27" s="51">
        <v>2.25</v>
      </c>
      <c r="F27" s="59">
        <v>1</v>
      </c>
      <c r="G27" s="40"/>
    </row>
    <row r="28" spans="2:9" ht="36.75" customHeight="1">
      <c r="B28" s="315"/>
      <c r="C28" s="8" t="s">
        <v>97</v>
      </c>
      <c r="D28" s="50">
        <v>0</v>
      </c>
      <c r="E28" s="51">
        <v>2.25</v>
      </c>
      <c r="F28" s="59">
        <v>0</v>
      </c>
      <c r="G28" s="40" t="s">
        <v>73</v>
      </c>
    </row>
    <row r="29" spans="2:9" ht="36.75" customHeight="1">
      <c r="B29" s="315"/>
      <c r="C29" s="8" t="s">
        <v>98</v>
      </c>
      <c r="D29" s="50">
        <v>0</v>
      </c>
      <c r="E29" s="51">
        <v>3.15</v>
      </c>
      <c r="F29" s="59">
        <v>0</v>
      </c>
      <c r="G29" s="40" t="s">
        <v>73</v>
      </c>
    </row>
    <row r="30" spans="2:9" ht="36.75" customHeight="1">
      <c r="B30" s="315"/>
      <c r="C30" s="8" t="s">
        <v>99</v>
      </c>
      <c r="D30" s="50">
        <v>0</v>
      </c>
      <c r="E30" s="51">
        <v>2.25</v>
      </c>
      <c r="F30" s="59">
        <v>0</v>
      </c>
      <c r="G30" s="40" t="s">
        <v>73</v>
      </c>
    </row>
    <row r="31" spans="2:9" ht="36.75" customHeight="1">
      <c r="B31" s="315"/>
      <c r="C31" s="8" t="s">
        <v>100</v>
      </c>
      <c r="D31" s="50">
        <v>0</v>
      </c>
      <c r="E31" s="51">
        <v>3.15</v>
      </c>
      <c r="F31" s="59">
        <v>2</v>
      </c>
      <c r="G31" s="40"/>
    </row>
    <row r="32" spans="2:9" ht="36.75" customHeight="1">
      <c r="B32" s="315"/>
      <c r="C32" s="8" t="s">
        <v>101</v>
      </c>
      <c r="D32" s="50">
        <v>230.26</v>
      </c>
      <c r="E32" s="51">
        <v>3.15</v>
      </c>
      <c r="F32" s="59">
        <v>2</v>
      </c>
      <c r="G32" s="40"/>
      <c r="H32" s="41"/>
      <c r="I32" s="22"/>
    </row>
    <row r="33" spans="2:9" ht="36.75" customHeight="1">
      <c r="B33" s="315"/>
      <c r="C33" s="8" t="s">
        <v>102</v>
      </c>
      <c r="D33" s="50">
        <v>2570.2199999999998</v>
      </c>
      <c r="E33" s="51">
        <v>4.5</v>
      </c>
      <c r="F33" s="59">
        <v>6</v>
      </c>
      <c r="G33" s="40"/>
      <c r="H33" s="41"/>
      <c r="I33" s="22"/>
    </row>
    <row r="34" spans="2:9" ht="36.75" customHeight="1">
      <c r="B34" s="315"/>
      <c r="C34" s="8" t="s">
        <v>103</v>
      </c>
      <c r="D34" s="50">
        <v>402.39</v>
      </c>
      <c r="E34" s="51">
        <v>3.15</v>
      </c>
      <c r="F34" s="59">
        <v>2</v>
      </c>
      <c r="G34" s="40"/>
      <c r="H34" s="41"/>
    </row>
    <row r="35" spans="2:9" ht="36.75" customHeight="1">
      <c r="B35" s="315"/>
      <c r="C35" s="8" t="s">
        <v>104</v>
      </c>
      <c r="D35" s="50">
        <v>123.38</v>
      </c>
      <c r="E35" s="51">
        <v>2.25</v>
      </c>
      <c r="F35" s="59">
        <v>1</v>
      </c>
      <c r="G35" s="40"/>
      <c r="H35" s="41"/>
    </row>
    <row r="36" spans="2:9" ht="36.75" customHeight="1">
      <c r="B36" s="315"/>
      <c r="C36" s="8" t="s">
        <v>105</v>
      </c>
      <c r="D36" s="50">
        <v>1077.6400000000001</v>
      </c>
      <c r="E36" s="51">
        <v>3.15</v>
      </c>
      <c r="F36" s="59">
        <v>6</v>
      </c>
      <c r="G36" s="42"/>
      <c r="H36" s="41"/>
    </row>
    <row r="37" spans="2:9" ht="36.75" customHeight="1">
      <c r="B37" s="315"/>
      <c r="C37" s="8" t="s">
        <v>106</v>
      </c>
      <c r="D37" s="50">
        <v>0</v>
      </c>
      <c r="E37" s="51">
        <v>2.25</v>
      </c>
      <c r="F37" s="59">
        <v>0</v>
      </c>
      <c r="G37" s="40" t="s">
        <v>73</v>
      </c>
    </row>
    <row r="38" spans="2:9" ht="36.75" customHeight="1">
      <c r="B38" s="315"/>
      <c r="C38" s="8" t="s">
        <v>107</v>
      </c>
      <c r="D38" s="50">
        <v>0</v>
      </c>
      <c r="E38" s="51">
        <v>2.25</v>
      </c>
      <c r="F38" s="59">
        <v>0</v>
      </c>
      <c r="G38" s="40" t="s">
        <v>73</v>
      </c>
      <c r="I38" s="43"/>
    </row>
    <row r="39" spans="2:9" ht="36.75" customHeight="1">
      <c r="B39" s="315"/>
      <c r="C39" s="8" t="s">
        <v>108</v>
      </c>
      <c r="D39" s="50">
        <v>3128.16</v>
      </c>
      <c r="E39" s="51">
        <v>4.5</v>
      </c>
      <c r="F39" s="59">
        <v>4</v>
      </c>
      <c r="G39" s="42"/>
    </row>
    <row r="40" spans="2:9" ht="36.75" customHeight="1">
      <c r="B40" s="315"/>
      <c r="C40" s="8" t="s">
        <v>109</v>
      </c>
      <c r="D40" s="50">
        <v>1339.77</v>
      </c>
      <c r="E40" s="51">
        <v>4.5</v>
      </c>
      <c r="F40" s="59">
        <v>4</v>
      </c>
      <c r="G40" s="40"/>
      <c r="H40" s="41"/>
      <c r="I40" s="43"/>
    </row>
    <row r="41" spans="2:9" ht="36.75" customHeight="1">
      <c r="B41" s="315"/>
      <c r="C41" s="8" t="s">
        <v>110</v>
      </c>
      <c r="D41" s="50">
        <v>1056.73</v>
      </c>
      <c r="E41" s="51">
        <v>3.15</v>
      </c>
      <c r="F41" s="59">
        <v>2</v>
      </c>
      <c r="G41" s="40"/>
      <c r="H41" s="41"/>
    </row>
    <row r="42" spans="2:9" ht="36.75" customHeight="1">
      <c r="B42" s="315"/>
      <c r="C42" s="8" t="s">
        <v>111</v>
      </c>
      <c r="D42" s="50">
        <v>1106.9100000000001</v>
      </c>
      <c r="E42" s="51">
        <v>3.15</v>
      </c>
      <c r="F42" s="59">
        <v>6</v>
      </c>
      <c r="G42" s="44"/>
    </row>
    <row r="43" spans="2:9" ht="36.75" customHeight="1">
      <c r="B43" s="315"/>
      <c r="C43" s="8" t="s">
        <v>112</v>
      </c>
      <c r="D43" s="50">
        <v>313.91000000000003</v>
      </c>
      <c r="E43" s="51">
        <v>3.15</v>
      </c>
      <c r="F43" s="59">
        <v>3</v>
      </c>
      <c r="G43" s="40"/>
      <c r="H43" s="41"/>
    </row>
    <row r="44" spans="2:9" ht="36.75" customHeight="1">
      <c r="B44" s="315"/>
      <c r="C44" s="8" t="s">
        <v>113</v>
      </c>
      <c r="D44" s="50">
        <v>99.67</v>
      </c>
      <c r="E44" s="51">
        <v>2.25</v>
      </c>
      <c r="F44" s="59">
        <v>1</v>
      </c>
      <c r="G44" s="39"/>
    </row>
    <row r="45" spans="2:9" ht="45" customHeight="1">
      <c r="B45" s="7" t="s">
        <v>51</v>
      </c>
      <c r="C45" s="8"/>
      <c r="D45" s="53">
        <f>SUM(D8:D44)</f>
        <v>31840.489999999998</v>
      </c>
      <c r="E45" s="53">
        <f>SUM(E8:E44)</f>
        <v>103.80000000000003</v>
      </c>
      <c r="F45" s="60">
        <f>SUM(F8:F44)</f>
        <v>88</v>
      </c>
      <c r="G45" s="9"/>
    </row>
    <row r="46" spans="2:9" ht="42.75" customHeight="1">
      <c r="B46" s="279" t="s">
        <v>52</v>
      </c>
      <c r="C46" s="40" t="s">
        <v>114</v>
      </c>
      <c r="D46" s="54">
        <v>720</v>
      </c>
      <c r="E46" s="51">
        <v>113</v>
      </c>
      <c r="F46" s="59">
        <v>5</v>
      </c>
      <c r="G46" s="45" t="s">
        <v>115</v>
      </c>
    </row>
    <row r="47" spans="2:9" ht="35.25" customHeight="1">
      <c r="B47" s="280"/>
      <c r="C47" s="40" t="s">
        <v>116</v>
      </c>
      <c r="D47" s="54">
        <v>0</v>
      </c>
      <c r="E47" s="51">
        <v>31.7</v>
      </c>
      <c r="F47" s="59">
        <v>1</v>
      </c>
      <c r="G47" s="45" t="s">
        <v>117</v>
      </c>
    </row>
    <row r="48" spans="2:9" ht="34.5" customHeight="1">
      <c r="B48" s="280"/>
      <c r="C48" s="40" t="s">
        <v>118</v>
      </c>
      <c r="D48" s="54">
        <v>0</v>
      </c>
      <c r="E48" s="51">
        <v>16.5</v>
      </c>
      <c r="F48" s="59">
        <v>0</v>
      </c>
      <c r="G48" s="40" t="s">
        <v>73</v>
      </c>
      <c r="H48" s="41"/>
    </row>
    <row r="49" spans="1:10" ht="42" customHeight="1">
      <c r="B49" s="280"/>
      <c r="C49" s="40" t="s">
        <v>120</v>
      </c>
      <c r="D49" s="54">
        <v>47.5</v>
      </c>
      <c r="E49" s="51">
        <v>47.5</v>
      </c>
      <c r="F49" s="59">
        <v>1</v>
      </c>
      <c r="G49" s="45" t="s">
        <v>121</v>
      </c>
      <c r="H49" s="10"/>
      <c r="I49" s="10"/>
      <c r="J49" s="10"/>
    </row>
    <row r="50" spans="1:10" ht="42" customHeight="1">
      <c r="B50" s="281"/>
      <c r="C50" s="40" t="s">
        <v>122</v>
      </c>
      <c r="D50" s="54">
        <v>54.3</v>
      </c>
      <c r="E50" s="51">
        <v>16.5</v>
      </c>
      <c r="F50" s="61">
        <v>3</v>
      </c>
      <c r="G50" s="45" t="s">
        <v>123</v>
      </c>
      <c r="H50" s="41"/>
      <c r="I50" s="10"/>
      <c r="J50" s="10"/>
    </row>
    <row r="51" spans="1:10" ht="42" customHeight="1">
      <c r="B51" s="46"/>
      <c r="C51" s="40" t="s">
        <v>124</v>
      </c>
      <c r="D51" s="54">
        <v>0</v>
      </c>
      <c r="E51" s="51">
        <v>16.5</v>
      </c>
      <c r="F51" s="59">
        <v>1</v>
      </c>
      <c r="G51" s="45" t="s">
        <v>119</v>
      </c>
      <c r="H51" s="10"/>
      <c r="I51" s="10"/>
      <c r="J51" s="10"/>
    </row>
    <row r="52" spans="1:10" ht="34.5" customHeight="1">
      <c r="B52" s="11" t="s">
        <v>51</v>
      </c>
      <c r="C52" s="32"/>
      <c r="D52" s="53">
        <f>SUM(D46:D51)</f>
        <v>821.8</v>
      </c>
      <c r="E52" s="53">
        <f>SUM(E46:E51)</f>
        <v>241.7</v>
      </c>
      <c r="F52" s="60">
        <f>SUM(F46:F51)</f>
        <v>11</v>
      </c>
      <c r="G52" s="9"/>
      <c r="H52" s="10"/>
      <c r="I52" s="10"/>
      <c r="J52" s="10"/>
    </row>
    <row r="53" spans="1:10" ht="31.5" customHeight="1">
      <c r="B53" s="318" t="s">
        <v>56</v>
      </c>
      <c r="C53" s="318"/>
      <c r="D53" s="318"/>
      <c r="E53" s="318"/>
      <c r="F53" s="318"/>
      <c r="G53" s="319"/>
    </row>
    <row r="54" spans="1:10" ht="65.25" customHeight="1">
      <c r="A54" s="12"/>
      <c r="B54" s="32" t="s">
        <v>4</v>
      </c>
      <c r="C54" s="32" t="s">
        <v>57</v>
      </c>
      <c r="D54" s="32" t="s">
        <v>6</v>
      </c>
      <c r="E54" s="32" t="s">
        <v>58</v>
      </c>
      <c r="F54" s="32" t="s">
        <v>8</v>
      </c>
      <c r="G54" s="32" t="s">
        <v>59</v>
      </c>
    </row>
    <row r="55" spans="1:10" ht="33" customHeight="1">
      <c r="B55" s="358" t="s">
        <v>60</v>
      </c>
      <c r="C55" s="8" t="s">
        <v>125</v>
      </c>
      <c r="D55" s="55">
        <v>0</v>
      </c>
      <c r="E55" s="55">
        <v>0</v>
      </c>
      <c r="F55" s="15">
        <v>1</v>
      </c>
      <c r="G55" s="92" t="s">
        <v>168</v>
      </c>
    </row>
    <row r="56" spans="1:10" ht="33" customHeight="1">
      <c r="B56" s="359"/>
      <c r="C56" s="8" t="s">
        <v>126</v>
      </c>
      <c r="D56" s="55">
        <v>0</v>
      </c>
      <c r="E56" s="55">
        <v>0</v>
      </c>
      <c r="F56" s="15">
        <v>1</v>
      </c>
      <c r="G56" s="92" t="s">
        <v>168</v>
      </c>
    </row>
    <row r="57" spans="1:10" ht="33" customHeight="1">
      <c r="B57" s="360"/>
      <c r="C57" s="8" t="s">
        <v>127</v>
      </c>
      <c r="D57" s="55">
        <v>0</v>
      </c>
      <c r="E57" s="55">
        <v>0</v>
      </c>
      <c r="F57" s="15">
        <v>1</v>
      </c>
      <c r="G57" s="92" t="s">
        <v>168</v>
      </c>
    </row>
    <row r="58" spans="1:10" ht="21.75" customHeight="1">
      <c r="B58" s="17" t="s">
        <v>51</v>
      </c>
      <c r="C58" s="47"/>
      <c r="D58" s="56">
        <f>SUM(D55:D57)</f>
        <v>0</v>
      </c>
      <c r="E58" s="56">
        <f>SUM(E55:E57)</f>
        <v>0</v>
      </c>
      <c r="F58" s="20">
        <f>SUM(F55:F57)</f>
        <v>3</v>
      </c>
      <c r="G58" s="16"/>
    </row>
    <row r="59" spans="1:10" ht="27.75" customHeight="1">
      <c r="B59" s="272" t="s">
        <v>61</v>
      </c>
      <c r="C59" s="8" t="s">
        <v>128</v>
      </c>
      <c r="D59" s="55">
        <v>193</v>
      </c>
      <c r="E59" s="55">
        <v>2603</v>
      </c>
      <c r="F59" s="15">
        <v>55</v>
      </c>
      <c r="G59" s="48"/>
      <c r="H59" s="41"/>
    </row>
    <row r="60" spans="1:10" ht="28.5" customHeight="1">
      <c r="B60" s="274"/>
      <c r="C60" s="8" t="s">
        <v>129</v>
      </c>
      <c r="D60" s="57">
        <v>678.66</v>
      </c>
      <c r="E60" s="55">
        <v>1188.72</v>
      </c>
      <c r="F60" s="15">
        <v>40</v>
      </c>
      <c r="G60" s="48"/>
      <c r="H60" s="41"/>
      <c r="I60" s="41"/>
    </row>
    <row r="61" spans="1:10" ht="29.25" customHeight="1">
      <c r="B61" s="17" t="s">
        <v>51</v>
      </c>
      <c r="C61" s="18"/>
      <c r="D61" s="56">
        <f>SUM(D59:D60)</f>
        <v>871.66</v>
      </c>
      <c r="E61" s="56">
        <f>E59+E60</f>
        <v>3791.7200000000003</v>
      </c>
      <c r="F61" s="19">
        <f>F59+F60</f>
        <v>95</v>
      </c>
      <c r="G61" s="16"/>
    </row>
    <row r="62" spans="1:10" ht="24" customHeight="1">
      <c r="B62" s="13" t="s">
        <v>63</v>
      </c>
      <c r="C62" s="14"/>
      <c r="D62" s="30">
        <v>0</v>
      </c>
      <c r="E62" s="30">
        <v>0</v>
      </c>
      <c r="F62" s="15">
        <v>0</v>
      </c>
      <c r="G62" s="40" t="s">
        <v>73</v>
      </c>
    </row>
    <row r="63" spans="1:10" ht="27" customHeight="1">
      <c r="B63" s="17" t="s">
        <v>51</v>
      </c>
      <c r="C63" s="47"/>
      <c r="D63" s="31">
        <f>D62</f>
        <v>0</v>
      </c>
      <c r="E63" s="31">
        <f>E62</f>
        <v>0</v>
      </c>
      <c r="F63" s="264">
        <f>F62</f>
        <v>0</v>
      </c>
      <c r="G63" s="16"/>
    </row>
    <row r="64" spans="1:10" ht="33" customHeight="1">
      <c r="B64" s="13" t="s">
        <v>65</v>
      </c>
      <c r="C64" s="14"/>
      <c r="D64" s="30">
        <v>0</v>
      </c>
      <c r="E64" s="30">
        <v>0</v>
      </c>
      <c r="F64" s="15">
        <v>0</v>
      </c>
      <c r="G64" s="40" t="s">
        <v>73</v>
      </c>
    </row>
    <row r="65" spans="2:7" ht="24.75" customHeight="1">
      <c r="B65" s="17" t="s">
        <v>51</v>
      </c>
      <c r="C65" s="47"/>
      <c r="D65" s="31">
        <f>D64</f>
        <v>0</v>
      </c>
      <c r="E65" s="31">
        <f>E64</f>
        <v>0</v>
      </c>
      <c r="F65" s="264">
        <f>F64</f>
        <v>0</v>
      </c>
      <c r="G65" s="16"/>
    </row>
    <row r="66" spans="2:7" ht="30.75" customHeight="1">
      <c r="B66" s="13" t="s">
        <v>68</v>
      </c>
      <c r="C66" s="21"/>
      <c r="D66" s="30">
        <v>0</v>
      </c>
      <c r="E66" s="30">
        <v>0</v>
      </c>
      <c r="F66" s="15">
        <v>0</v>
      </c>
      <c r="G66" s="40" t="s">
        <v>73</v>
      </c>
    </row>
    <row r="67" spans="2:7" ht="15.6">
      <c r="B67" s="17" t="s">
        <v>51</v>
      </c>
      <c r="C67" s="47"/>
      <c r="D67" s="31">
        <f>D66</f>
        <v>0</v>
      </c>
      <c r="E67" s="31">
        <f>E66</f>
        <v>0</v>
      </c>
      <c r="F67" s="264">
        <f>F66</f>
        <v>0</v>
      </c>
      <c r="G67" s="16"/>
    </row>
    <row r="68" spans="2:7" ht="17.25" customHeight="1">
      <c r="B68" s="317"/>
      <c r="C68" s="317"/>
      <c r="D68" s="317"/>
      <c r="E68" s="317"/>
      <c r="F68" s="317"/>
      <c r="G68" s="317"/>
    </row>
    <row r="69" spans="2:7" ht="33" customHeight="1">
      <c r="B69" s="11" t="s">
        <v>69</v>
      </c>
      <c r="C69" s="18"/>
      <c r="D69" s="58">
        <f>D45+D52+D58+D61+D63+D65+D67</f>
        <v>33533.949999999997</v>
      </c>
      <c r="E69" s="58">
        <f>E45+E52+E58+E61+E63+E65+E67</f>
        <v>4137.22</v>
      </c>
      <c r="F69" s="109">
        <f>F45+F52+F58+F61+F63+F65+F67</f>
        <v>197</v>
      </c>
      <c r="G69" s="16"/>
    </row>
    <row r="70" spans="2:7">
      <c r="B70" s="22"/>
      <c r="C70" s="23"/>
      <c r="D70" s="23"/>
      <c r="E70" s="23"/>
      <c r="F70" s="23"/>
    </row>
    <row r="71" spans="2:7">
      <c r="B71" s="22"/>
      <c r="C71" s="23"/>
      <c r="D71" s="23"/>
      <c r="E71" s="23"/>
      <c r="F71" s="23"/>
    </row>
    <row r="72" spans="2:7">
      <c r="B72" s="124" t="s">
        <v>173</v>
      </c>
      <c r="C72"/>
      <c r="D72"/>
      <c r="E72"/>
    </row>
    <row r="73" spans="2:7">
      <c r="B73" s="24"/>
      <c r="C73"/>
      <c r="D73"/>
      <c r="E73"/>
    </row>
    <row r="74" spans="2:7">
      <c r="B74" s="25" t="s">
        <v>174</v>
      </c>
      <c r="C74"/>
      <c r="D74"/>
      <c r="E74"/>
    </row>
    <row r="75" spans="2:7">
      <c r="B75" s="25" t="s">
        <v>169</v>
      </c>
      <c r="C75"/>
      <c r="D75"/>
      <c r="E75"/>
    </row>
    <row r="76" spans="2:7">
      <c r="B76" s="25" t="s">
        <v>175</v>
      </c>
      <c r="C76"/>
      <c r="D76"/>
      <c r="E76"/>
    </row>
    <row r="78" spans="2:7">
      <c r="B78" t="s">
        <v>167</v>
      </c>
      <c r="C78"/>
      <c r="D78"/>
      <c r="E78"/>
    </row>
    <row r="80" spans="2:7" ht="15.75" customHeight="1">
      <c r="B80" t="s">
        <v>76</v>
      </c>
      <c r="C80"/>
      <c r="D80"/>
      <c r="E80"/>
    </row>
  </sheetData>
  <mergeCells count="9">
    <mergeCell ref="B55:B57"/>
    <mergeCell ref="B59:B60"/>
    <mergeCell ref="B68:G68"/>
    <mergeCell ref="B4:G4"/>
    <mergeCell ref="B5:G5"/>
    <mergeCell ref="B6:G6"/>
    <mergeCell ref="B8:B44"/>
    <mergeCell ref="B46:B50"/>
    <mergeCell ref="B53:G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51CD-943B-4E38-AE90-E2ECAD0F7166}">
  <dimension ref="A1:J78"/>
  <sheetViews>
    <sheetView tabSelected="1" topLeftCell="A61" workbookViewId="0">
      <selection activeCell="F66" sqref="F66"/>
    </sheetView>
  </sheetViews>
  <sheetFormatPr defaultColWidth="9.109375" defaultRowHeight="14.4"/>
  <cols>
    <col min="1" max="1" width="3.44140625" customWidth="1"/>
    <col min="2" max="2" width="44.33203125" customWidth="1"/>
    <col min="3" max="3" width="59.109375" customWidth="1"/>
    <col min="4" max="4" width="18.109375" customWidth="1"/>
    <col min="5" max="5" width="15.6640625" customWidth="1"/>
    <col min="6" max="6" width="15.33203125" customWidth="1"/>
    <col min="7" max="7" width="40.33203125" customWidth="1"/>
    <col min="8" max="8" width="2.6640625" customWidth="1"/>
  </cols>
  <sheetData>
    <row r="1" spans="2:7" ht="30" customHeight="1">
      <c r="B1" s="125" t="s">
        <v>0</v>
      </c>
    </row>
    <row r="2" spans="2:7" ht="25.5" customHeight="1">
      <c r="B2" s="125" t="s">
        <v>1</v>
      </c>
      <c r="D2" s="63"/>
      <c r="E2" s="63"/>
    </row>
    <row r="3" spans="2:7" ht="13.2" customHeight="1">
      <c r="B3" s="125"/>
      <c r="D3" s="63"/>
      <c r="E3" s="63"/>
    </row>
    <row r="4" spans="2:7" ht="32.25" customHeight="1">
      <c r="B4" s="361" t="s">
        <v>78</v>
      </c>
      <c r="C4" s="361"/>
      <c r="D4" s="361"/>
      <c r="E4" s="361"/>
      <c r="F4" s="361"/>
      <c r="G4" s="361"/>
    </row>
    <row r="5" spans="2:7" ht="31.5" customHeight="1">
      <c r="B5" s="361" t="s">
        <v>176</v>
      </c>
      <c r="C5" s="361"/>
      <c r="D5" s="361"/>
      <c r="E5" s="361"/>
      <c r="F5" s="361"/>
      <c r="G5" s="361"/>
    </row>
    <row r="6" spans="2:7" ht="26.25" customHeight="1">
      <c r="B6" s="362" t="s">
        <v>3</v>
      </c>
      <c r="C6" s="362"/>
      <c r="D6" s="362"/>
      <c r="E6" s="362"/>
      <c r="F6" s="362"/>
      <c r="G6" s="362"/>
    </row>
    <row r="7" spans="2:7" ht="55.5" customHeight="1">
      <c r="B7" s="126" t="s">
        <v>4</v>
      </c>
      <c r="C7" s="127" t="s">
        <v>5</v>
      </c>
      <c r="D7" s="127" t="s">
        <v>6</v>
      </c>
      <c r="E7" s="127" t="s">
        <v>177</v>
      </c>
      <c r="F7" s="127" t="s">
        <v>8</v>
      </c>
      <c r="G7" s="128" t="s">
        <v>9</v>
      </c>
    </row>
    <row r="8" spans="2:7" ht="36.75" customHeight="1">
      <c r="B8" s="315" t="s">
        <v>178</v>
      </c>
      <c r="C8" s="8" t="s">
        <v>179</v>
      </c>
      <c r="D8" s="30">
        <f>87.8</f>
        <v>87.8</v>
      </c>
      <c r="E8" s="146">
        <v>1.8</v>
      </c>
      <c r="F8" s="129">
        <v>1</v>
      </c>
      <c r="G8" s="130"/>
    </row>
    <row r="9" spans="2:7" ht="36.75" customHeight="1">
      <c r="B9" s="315"/>
      <c r="C9" s="8" t="s">
        <v>180</v>
      </c>
      <c r="D9" s="30">
        <f>47.5+64.9+204.5+74.9</f>
        <v>391.79999999999995</v>
      </c>
      <c r="E9" s="146">
        <v>3</v>
      </c>
      <c r="F9" s="129">
        <v>5</v>
      </c>
      <c r="G9" s="130"/>
    </row>
    <row r="10" spans="2:7" ht="36.75" customHeight="1">
      <c r="B10" s="315"/>
      <c r="C10" s="8" t="s">
        <v>181</v>
      </c>
      <c r="D10" s="30">
        <f>93+76.8</f>
        <v>169.8</v>
      </c>
      <c r="E10" s="146">
        <v>3</v>
      </c>
      <c r="F10" s="129">
        <v>2</v>
      </c>
      <c r="G10" s="130"/>
    </row>
    <row r="11" spans="2:7" ht="36.75" customHeight="1">
      <c r="B11" s="315"/>
      <c r="C11" s="8" t="s">
        <v>182</v>
      </c>
      <c r="D11" s="30">
        <v>0</v>
      </c>
      <c r="E11" s="146">
        <v>3</v>
      </c>
      <c r="F11" s="129">
        <v>1</v>
      </c>
      <c r="G11" s="130"/>
    </row>
    <row r="12" spans="2:7" ht="36.75" customHeight="1">
      <c r="B12" s="315"/>
      <c r="C12" s="8" t="s">
        <v>183</v>
      </c>
      <c r="D12" s="30">
        <f>248.4+76.8+156</f>
        <v>481.2</v>
      </c>
      <c r="E12" s="146">
        <v>3</v>
      </c>
      <c r="F12" s="129">
        <v>3</v>
      </c>
      <c r="G12" s="130"/>
    </row>
    <row r="13" spans="2:7" ht="36.75" customHeight="1">
      <c r="B13" s="315"/>
      <c r="C13" s="8" t="s">
        <v>184</v>
      </c>
      <c r="D13" s="30">
        <f>518.4+259.2+468</f>
        <v>1245.5999999999999</v>
      </c>
      <c r="E13" s="146">
        <v>3</v>
      </c>
      <c r="F13" s="129">
        <v>2</v>
      </c>
      <c r="G13" s="130"/>
    </row>
    <row r="14" spans="2:7" ht="36.75" customHeight="1">
      <c r="B14" s="315"/>
      <c r="C14" s="8" t="s">
        <v>185</v>
      </c>
      <c r="D14" s="30">
        <f>74.4</f>
        <v>74.400000000000006</v>
      </c>
      <c r="E14" s="146">
        <v>3</v>
      </c>
      <c r="F14" s="129">
        <v>3</v>
      </c>
      <c r="G14" s="130"/>
    </row>
    <row r="15" spans="2:7" ht="36.75" customHeight="1">
      <c r="B15" s="315"/>
      <c r="C15" s="8" t="s">
        <v>186</v>
      </c>
      <c r="D15" s="30">
        <f>712.8+766.8</f>
        <v>1479.6</v>
      </c>
      <c r="E15" s="146">
        <v>3</v>
      </c>
      <c r="F15" s="129">
        <v>2</v>
      </c>
      <c r="G15" s="130"/>
    </row>
    <row r="16" spans="2:7" ht="36.75" customHeight="1">
      <c r="B16" s="315"/>
      <c r="C16" s="8" t="s">
        <v>187</v>
      </c>
      <c r="D16" s="30">
        <f>44.6+49+63.4</f>
        <v>157</v>
      </c>
      <c r="E16" s="146">
        <v>1.8</v>
      </c>
      <c r="F16" s="129">
        <v>4</v>
      </c>
      <c r="G16" s="130"/>
    </row>
    <row r="17" spans="2:7" ht="36.75" customHeight="1">
      <c r="B17" s="315"/>
      <c r="C17" s="8" t="s">
        <v>188</v>
      </c>
      <c r="D17" s="30">
        <f>49+75.6</f>
        <v>124.6</v>
      </c>
      <c r="E17" s="146">
        <v>3</v>
      </c>
      <c r="F17" s="129">
        <v>1</v>
      </c>
      <c r="G17" s="130"/>
    </row>
    <row r="18" spans="2:7" ht="36.75" customHeight="1">
      <c r="B18" s="315"/>
      <c r="C18" s="8" t="s">
        <v>189</v>
      </c>
      <c r="D18" s="30">
        <f>90+511.2</f>
        <v>601.20000000000005</v>
      </c>
      <c r="E18" s="146">
        <v>3</v>
      </c>
      <c r="F18" s="129">
        <v>2</v>
      </c>
      <c r="G18" s="130"/>
    </row>
    <row r="19" spans="2:7" ht="36.75" customHeight="1">
      <c r="B19" s="315"/>
      <c r="C19" s="8" t="s">
        <v>190</v>
      </c>
      <c r="D19" s="30">
        <f>297.6+482.25+405.9</f>
        <v>1185.75</v>
      </c>
      <c r="E19" s="146">
        <v>1.8</v>
      </c>
      <c r="F19" s="129">
        <v>2</v>
      </c>
      <c r="G19" s="130"/>
    </row>
    <row r="20" spans="2:7" ht="36.75" customHeight="1">
      <c r="B20" s="315"/>
      <c r="C20" s="8" t="s">
        <v>191</v>
      </c>
      <c r="D20" s="30">
        <v>177.1</v>
      </c>
      <c r="E20" s="146">
        <v>1.8</v>
      </c>
      <c r="F20" s="129">
        <v>1</v>
      </c>
      <c r="G20" s="130"/>
    </row>
    <row r="21" spans="2:7" ht="36.75" customHeight="1">
      <c r="B21" s="315"/>
      <c r="C21" s="8" t="s">
        <v>192</v>
      </c>
      <c r="D21" s="30">
        <f>529.2</f>
        <v>529.20000000000005</v>
      </c>
      <c r="E21" s="146">
        <v>3</v>
      </c>
      <c r="F21" s="129">
        <v>2</v>
      </c>
      <c r="G21" s="130"/>
    </row>
    <row r="22" spans="2:7" ht="36.75" customHeight="1">
      <c r="B22" s="315"/>
      <c r="C22" s="8" t="s">
        <v>193</v>
      </c>
      <c r="D22" s="30">
        <f>147+230.4</f>
        <v>377.4</v>
      </c>
      <c r="E22" s="146">
        <v>3</v>
      </c>
      <c r="F22" s="129">
        <v>2</v>
      </c>
      <c r="G22" s="130"/>
    </row>
    <row r="23" spans="2:7" ht="36.75" customHeight="1">
      <c r="B23" s="315"/>
      <c r="C23" s="8" t="s">
        <v>194</v>
      </c>
      <c r="D23" s="30">
        <f>210.2</f>
        <v>210.2</v>
      </c>
      <c r="E23" s="146">
        <v>1.8</v>
      </c>
      <c r="F23" s="129">
        <v>1</v>
      </c>
      <c r="G23" s="130"/>
    </row>
    <row r="24" spans="2:7" ht="36.75" customHeight="1">
      <c r="B24" s="315"/>
      <c r="C24" s="8" t="s">
        <v>195</v>
      </c>
      <c r="D24" s="30">
        <f>220.5+788.4+684+230.4+247.5</f>
        <v>2170.8000000000002</v>
      </c>
      <c r="E24" s="146">
        <v>4.5</v>
      </c>
      <c r="F24" s="129">
        <f>5+1</f>
        <v>6</v>
      </c>
      <c r="G24" s="130"/>
    </row>
    <row r="25" spans="2:7" ht="36.75" customHeight="1">
      <c r="B25" s="315"/>
      <c r="C25" s="8" t="s">
        <v>196</v>
      </c>
      <c r="D25" s="30">
        <f>73.4+44.6+140.4</f>
        <v>258.39999999999998</v>
      </c>
      <c r="E25" s="146">
        <v>3</v>
      </c>
      <c r="F25" s="129">
        <v>2</v>
      </c>
      <c r="G25" s="130"/>
    </row>
    <row r="26" spans="2:7" ht="36.75" customHeight="1">
      <c r="B26" s="315"/>
      <c r="C26" s="8" t="s">
        <v>197</v>
      </c>
      <c r="D26" s="30">
        <f>158.4+108.6</f>
        <v>267</v>
      </c>
      <c r="E26" s="146">
        <v>3</v>
      </c>
      <c r="F26" s="129">
        <v>2</v>
      </c>
      <c r="G26" s="130"/>
    </row>
    <row r="27" spans="2:7" ht="36.75" customHeight="1">
      <c r="B27" s="315"/>
      <c r="C27" s="8" t="s">
        <v>198</v>
      </c>
      <c r="D27" s="30">
        <f>76.8+134.4</f>
        <v>211.2</v>
      </c>
      <c r="E27" s="146">
        <v>3</v>
      </c>
      <c r="F27" s="129">
        <v>2</v>
      </c>
      <c r="G27" s="130"/>
    </row>
    <row r="28" spans="2:7" ht="36.75" customHeight="1">
      <c r="B28" s="315"/>
      <c r="C28" s="8" t="s">
        <v>199</v>
      </c>
      <c r="D28" s="30">
        <f>1053+799.2+1069.2+777.6</f>
        <v>3699</v>
      </c>
      <c r="E28" s="146">
        <v>4.5</v>
      </c>
      <c r="F28" s="129">
        <v>4</v>
      </c>
      <c r="G28" s="130"/>
    </row>
    <row r="29" spans="2:7" ht="36.75" customHeight="1">
      <c r="B29" s="315"/>
      <c r="C29" s="8" t="s">
        <v>200</v>
      </c>
      <c r="D29" s="30">
        <f>480</f>
        <v>480</v>
      </c>
      <c r="E29" s="146">
        <v>3</v>
      </c>
      <c r="F29" s="129">
        <v>1</v>
      </c>
      <c r="G29" s="130"/>
    </row>
    <row r="30" spans="2:7" ht="29.25" customHeight="1">
      <c r="B30" s="315"/>
      <c r="C30" s="8" t="s">
        <v>201</v>
      </c>
      <c r="D30" s="55">
        <f>122.4+518.4+214.5+525.6+417+240</f>
        <v>2037.9</v>
      </c>
      <c r="E30" s="146">
        <v>3</v>
      </c>
      <c r="F30" s="59">
        <f>5+1</f>
        <v>6</v>
      </c>
      <c r="G30" s="76"/>
    </row>
    <row r="31" spans="2:7" ht="25.5" customHeight="1">
      <c r="B31" s="131" t="s">
        <v>51</v>
      </c>
      <c r="C31" s="8"/>
      <c r="D31" s="147">
        <f>SUM(D8:D30)</f>
        <v>16416.95</v>
      </c>
      <c r="E31" s="147">
        <f>SUM(E8:E30)</f>
        <v>66</v>
      </c>
      <c r="F31" s="132">
        <f>SUM(F8:F30)</f>
        <v>57</v>
      </c>
      <c r="G31" s="76"/>
    </row>
    <row r="32" spans="2:7" ht="30" customHeight="1">
      <c r="B32" s="363" t="s">
        <v>202</v>
      </c>
      <c r="C32" s="133" t="s">
        <v>203</v>
      </c>
      <c r="D32" s="148">
        <v>0</v>
      </c>
      <c r="E32" s="149">
        <v>37</v>
      </c>
      <c r="F32" s="134">
        <v>0</v>
      </c>
      <c r="G32" s="154" t="s">
        <v>222</v>
      </c>
    </row>
    <row r="33" spans="2:7" ht="30" customHeight="1">
      <c r="B33" s="363"/>
      <c r="C33" s="133" t="s">
        <v>203</v>
      </c>
      <c r="D33" s="148">
        <v>0</v>
      </c>
      <c r="E33" s="149">
        <v>0</v>
      </c>
      <c r="F33" s="134">
        <v>1</v>
      </c>
      <c r="G33" s="8" t="s">
        <v>168</v>
      </c>
    </row>
    <row r="34" spans="2:7" ht="30" customHeight="1">
      <c r="B34" s="363"/>
      <c r="C34" s="133" t="s">
        <v>204</v>
      </c>
      <c r="D34" s="148">
        <v>2217</v>
      </c>
      <c r="E34" s="149">
        <v>37</v>
      </c>
      <c r="F34" s="134">
        <v>2</v>
      </c>
      <c r="G34" s="76"/>
    </row>
    <row r="35" spans="2:7" ht="30" customHeight="1">
      <c r="B35" s="363"/>
      <c r="C35" s="133" t="s">
        <v>204</v>
      </c>
      <c r="D35" s="148">
        <v>0</v>
      </c>
      <c r="E35" s="149">
        <v>0</v>
      </c>
      <c r="F35" s="134">
        <v>0</v>
      </c>
      <c r="G35" s="154" t="s">
        <v>222</v>
      </c>
    </row>
    <row r="36" spans="2:7" ht="30" customHeight="1">
      <c r="B36" s="363"/>
      <c r="C36" s="133" t="s">
        <v>205</v>
      </c>
      <c r="D36" s="148">
        <v>2109</v>
      </c>
      <c r="E36" s="149">
        <v>37</v>
      </c>
      <c r="F36" s="134">
        <v>3</v>
      </c>
      <c r="G36" s="76"/>
    </row>
    <row r="37" spans="2:7" ht="30" customHeight="1">
      <c r="B37" s="363"/>
      <c r="C37" s="133" t="s">
        <v>205</v>
      </c>
      <c r="D37" s="148">
        <v>0</v>
      </c>
      <c r="E37" s="149">
        <v>0</v>
      </c>
      <c r="F37" s="134">
        <v>3</v>
      </c>
      <c r="G37" s="8" t="s">
        <v>168</v>
      </c>
    </row>
    <row r="38" spans="2:7" ht="30" customHeight="1">
      <c r="B38" s="363"/>
      <c r="C38" s="133" t="s">
        <v>206</v>
      </c>
      <c r="D38" s="148">
        <v>2582</v>
      </c>
      <c r="E38" s="149">
        <v>37</v>
      </c>
      <c r="F38" s="134">
        <v>3</v>
      </c>
      <c r="G38" s="76"/>
    </row>
    <row r="39" spans="2:7" ht="30" customHeight="1">
      <c r="B39" s="363"/>
      <c r="C39" s="133" t="s">
        <v>206</v>
      </c>
      <c r="D39" s="148">
        <v>0</v>
      </c>
      <c r="E39" s="149">
        <v>0</v>
      </c>
      <c r="F39" s="134">
        <v>0</v>
      </c>
      <c r="G39" s="154" t="s">
        <v>222</v>
      </c>
    </row>
    <row r="40" spans="2:7" ht="30" customHeight="1">
      <c r="B40" s="363"/>
      <c r="C40" s="133" t="s">
        <v>207</v>
      </c>
      <c r="D40" s="149">
        <v>1417.4</v>
      </c>
      <c r="E40" s="149">
        <v>83</v>
      </c>
      <c r="F40" s="134">
        <v>1</v>
      </c>
      <c r="G40" s="76"/>
    </row>
    <row r="41" spans="2:7" ht="30" customHeight="1">
      <c r="B41" s="363"/>
      <c r="C41" s="133" t="s">
        <v>207</v>
      </c>
      <c r="D41" s="149">
        <v>0</v>
      </c>
      <c r="E41" s="149">
        <v>0</v>
      </c>
      <c r="F41" s="134">
        <v>5</v>
      </c>
      <c r="G41" s="8" t="s">
        <v>168</v>
      </c>
    </row>
    <row r="42" spans="2:7" ht="30" customHeight="1">
      <c r="B42" s="363"/>
      <c r="C42" s="133" t="s">
        <v>208</v>
      </c>
      <c r="D42" s="148">
        <v>496</v>
      </c>
      <c r="E42" s="149">
        <v>124</v>
      </c>
      <c r="F42" s="134">
        <v>1</v>
      </c>
      <c r="G42" s="76"/>
    </row>
    <row r="43" spans="2:7" ht="30" customHeight="1">
      <c r="B43" s="363"/>
      <c r="C43" s="133" t="s">
        <v>208</v>
      </c>
      <c r="D43" s="148">
        <v>0</v>
      </c>
      <c r="E43" s="149">
        <v>0</v>
      </c>
      <c r="F43" s="134">
        <v>5</v>
      </c>
      <c r="G43" s="8" t="s">
        <v>168</v>
      </c>
    </row>
    <row r="44" spans="2:7" ht="30" customHeight="1">
      <c r="B44" s="363"/>
      <c r="C44" s="133" t="s">
        <v>209</v>
      </c>
      <c r="D44" s="148">
        <v>518.5</v>
      </c>
      <c r="E44" s="149">
        <v>18.5</v>
      </c>
      <c r="F44" s="134">
        <v>1</v>
      </c>
      <c r="G44" s="154"/>
    </row>
    <row r="45" spans="2:7" ht="30" customHeight="1">
      <c r="B45" s="363"/>
      <c r="C45" s="133" t="s">
        <v>209</v>
      </c>
      <c r="D45" s="148">
        <v>0</v>
      </c>
      <c r="E45" s="149">
        <v>0</v>
      </c>
      <c r="F45" s="134">
        <v>0</v>
      </c>
      <c r="G45" s="154" t="s">
        <v>222</v>
      </c>
    </row>
    <row r="46" spans="2:7" ht="30" customHeight="1">
      <c r="B46" s="363"/>
      <c r="C46" s="133" t="s">
        <v>210</v>
      </c>
      <c r="D46" s="148">
        <v>0</v>
      </c>
      <c r="E46" s="149">
        <v>25</v>
      </c>
      <c r="F46" s="134">
        <v>0</v>
      </c>
      <c r="G46" s="154" t="s">
        <v>222</v>
      </c>
    </row>
    <row r="47" spans="2:7" ht="30" customHeight="1">
      <c r="B47" s="363"/>
      <c r="C47" s="133" t="s">
        <v>210</v>
      </c>
      <c r="D47" s="148">
        <v>0</v>
      </c>
      <c r="E47" s="149">
        <v>0</v>
      </c>
      <c r="F47" s="134">
        <v>0</v>
      </c>
      <c r="G47" s="154" t="s">
        <v>222</v>
      </c>
    </row>
    <row r="48" spans="2:7" ht="30" customHeight="1">
      <c r="B48" s="363"/>
      <c r="C48" s="133" t="s">
        <v>211</v>
      </c>
      <c r="D48" s="148">
        <v>992</v>
      </c>
      <c r="E48" s="149">
        <v>124</v>
      </c>
      <c r="F48" s="134">
        <v>8</v>
      </c>
      <c r="G48" s="76"/>
    </row>
    <row r="49" spans="1:10" ht="30" customHeight="1">
      <c r="B49" s="363"/>
      <c r="C49" s="133" t="s">
        <v>211</v>
      </c>
      <c r="D49" s="148">
        <v>0</v>
      </c>
      <c r="E49" s="149">
        <v>0</v>
      </c>
      <c r="F49" s="134">
        <v>5</v>
      </c>
      <c r="G49" s="8" t="s">
        <v>168</v>
      </c>
    </row>
    <row r="50" spans="1:10" ht="25.5" customHeight="1">
      <c r="B50" s="135" t="s">
        <v>51</v>
      </c>
      <c r="C50" s="136"/>
      <c r="D50" s="150">
        <f>SUM(D32:D49)</f>
        <v>10331.9</v>
      </c>
      <c r="E50" s="150">
        <f>SUM(E32:E49)</f>
        <v>522.5</v>
      </c>
      <c r="F50" s="137">
        <f>SUM(F32:F49)</f>
        <v>38</v>
      </c>
      <c r="G50" s="76"/>
      <c r="H50" s="72"/>
      <c r="I50" s="72"/>
      <c r="J50" s="72"/>
    </row>
    <row r="51" spans="1:10" ht="31.5" customHeight="1">
      <c r="B51" s="364" t="s">
        <v>56</v>
      </c>
      <c r="C51" s="364"/>
      <c r="D51" s="364"/>
      <c r="E51" s="364"/>
      <c r="F51" s="364"/>
      <c r="G51" s="364"/>
    </row>
    <row r="52" spans="1:10" ht="53.25" customHeight="1">
      <c r="A52" s="12"/>
      <c r="B52" s="127" t="s">
        <v>4</v>
      </c>
      <c r="C52" s="127" t="s">
        <v>57</v>
      </c>
      <c r="D52" s="127" t="s">
        <v>6</v>
      </c>
      <c r="E52" s="127" t="s">
        <v>212</v>
      </c>
      <c r="F52" s="127" t="s">
        <v>8</v>
      </c>
      <c r="G52" s="128" t="s">
        <v>59</v>
      </c>
    </row>
    <row r="53" spans="1:10" ht="33" customHeight="1">
      <c r="B53" s="13" t="s">
        <v>60</v>
      </c>
      <c r="C53" s="79"/>
      <c r="D53" s="30">
        <v>0</v>
      </c>
      <c r="E53" s="30">
        <v>0</v>
      </c>
      <c r="F53" s="80">
        <v>0</v>
      </c>
      <c r="G53" s="154" t="s">
        <v>222</v>
      </c>
    </row>
    <row r="54" spans="1:10" ht="24.75" customHeight="1">
      <c r="B54" s="138" t="s">
        <v>51</v>
      </c>
      <c r="C54" s="139"/>
      <c r="D54" s="151">
        <f>SUM(D53)</f>
        <v>0</v>
      </c>
      <c r="E54" s="151">
        <f>SUM(E53)</f>
        <v>0</v>
      </c>
      <c r="F54" s="140">
        <f>SUM(F53)</f>
        <v>0</v>
      </c>
      <c r="G54" s="16"/>
    </row>
    <row r="55" spans="1:10" ht="28.5" customHeight="1">
      <c r="B55" s="272" t="s">
        <v>61</v>
      </c>
      <c r="C55" s="141" t="s">
        <v>213</v>
      </c>
      <c r="D55" s="152">
        <v>413</v>
      </c>
      <c r="E55" s="30">
        <v>472</v>
      </c>
      <c r="F55" s="80">
        <v>8</v>
      </c>
      <c r="G55" s="44"/>
    </row>
    <row r="56" spans="1:10" ht="28.5" customHeight="1">
      <c r="B56" s="273"/>
      <c r="C56" s="141" t="s">
        <v>214</v>
      </c>
      <c r="D56" s="30">
        <v>1407</v>
      </c>
      <c r="E56" s="30">
        <v>1608</v>
      </c>
      <c r="F56" s="80">
        <v>24</v>
      </c>
      <c r="G56" s="44"/>
    </row>
    <row r="57" spans="1:10" ht="28.5" customHeight="1">
      <c r="B57" s="274"/>
      <c r="C57" s="141" t="s">
        <v>215</v>
      </c>
      <c r="D57" s="152">
        <v>1190.72</v>
      </c>
      <c r="E57" s="30">
        <v>1700</v>
      </c>
      <c r="F57" s="80">
        <v>21</v>
      </c>
      <c r="G57" s="44"/>
      <c r="J57" s="142"/>
    </row>
    <row r="58" spans="1:10" ht="29.25" customHeight="1">
      <c r="B58" s="138" t="s">
        <v>51</v>
      </c>
      <c r="C58" s="139"/>
      <c r="D58" s="151">
        <f>SUM(D55:D57)</f>
        <v>3010.7200000000003</v>
      </c>
      <c r="E58" s="151">
        <f>SUM(E55:E57)</f>
        <v>3780</v>
      </c>
      <c r="F58" s="140">
        <f>SUM(F55:F57)</f>
        <v>53</v>
      </c>
      <c r="G58" s="16"/>
    </row>
    <row r="59" spans="1:10" ht="27" customHeight="1">
      <c r="B59" s="13" t="s">
        <v>63</v>
      </c>
      <c r="C59" s="79" t="s">
        <v>216</v>
      </c>
      <c r="D59" s="30">
        <v>0</v>
      </c>
      <c r="E59" s="30">
        <v>15293.44</v>
      </c>
      <c r="F59" s="155">
        <v>0</v>
      </c>
      <c r="G59" s="154" t="s">
        <v>222</v>
      </c>
    </row>
    <row r="60" spans="1:10" ht="27" customHeight="1">
      <c r="B60" s="138" t="s">
        <v>51</v>
      </c>
      <c r="C60" s="139"/>
      <c r="D60" s="151">
        <f>SUM(D59)</f>
        <v>0</v>
      </c>
      <c r="E60" s="151">
        <f>SUM(E59)</f>
        <v>15293.44</v>
      </c>
      <c r="F60" s="140">
        <f>SUM(F59)</f>
        <v>0</v>
      </c>
      <c r="G60" s="16"/>
    </row>
    <row r="61" spans="1:10" ht="27" customHeight="1">
      <c r="B61" s="13" t="s">
        <v>65</v>
      </c>
      <c r="C61" s="79" t="s">
        <v>217</v>
      </c>
      <c r="D61" s="153">
        <v>0</v>
      </c>
      <c r="E61" s="153">
        <v>6000</v>
      </c>
      <c r="F61" s="143">
        <v>0</v>
      </c>
      <c r="G61" s="154" t="s">
        <v>222</v>
      </c>
    </row>
    <row r="62" spans="1:10" s="144" customFormat="1" ht="16.5" customHeight="1">
      <c r="B62" s="138" t="s">
        <v>51</v>
      </c>
      <c r="C62" s="139"/>
      <c r="D62" s="151">
        <f>SUM(D61)</f>
        <v>0</v>
      </c>
      <c r="E62" s="151">
        <f>SUM(E61)</f>
        <v>6000</v>
      </c>
      <c r="F62" s="140">
        <f>SUM(F61)</f>
        <v>0</v>
      </c>
      <c r="G62" s="145"/>
    </row>
    <row r="63" spans="1:10" ht="30.75" customHeight="1">
      <c r="B63" s="13" t="s">
        <v>68</v>
      </c>
      <c r="C63" s="79"/>
      <c r="D63" s="152">
        <v>0</v>
      </c>
      <c r="E63" s="30">
        <v>0</v>
      </c>
      <c r="F63" s="80">
        <v>0</v>
      </c>
      <c r="G63" s="154" t="s">
        <v>222</v>
      </c>
    </row>
    <row r="64" spans="1:10" ht="15.6">
      <c r="B64" s="138" t="s">
        <v>51</v>
      </c>
      <c r="C64" s="139"/>
      <c r="D64" s="151">
        <f>SUM(D63)</f>
        <v>0</v>
      </c>
      <c r="E64" s="151">
        <f>SUM(E63)</f>
        <v>0</v>
      </c>
      <c r="F64" s="140">
        <f>SUM(F63)</f>
        <v>0</v>
      </c>
      <c r="G64" s="16"/>
    </row>
    <row r="65" spans="2:7" ht="17.25" customHeight="1">
      <c r="B65" s="340"/>
      <c r="C65" s="340"/>
      <c r="D65" s="340"/>
      <c r="E65" s="340"/>
      <c r="F65" s="340"/>
      <c r="G65" s="340"/>
    </row>
    <row r="66" spans="2:7" ht="33" customHeight="1">
      <c r="B66" s="138" t="s">
        <v>218</v>
      </c>
      <c r="C66" s="139"/>
      <c r="D66" s="151">
        <f>SUM(D31+D50+D54+D58+D60+D62+D64)</f>
        <v>29759.57</v>
      </c>
      <c r="E66" s="151">
        <f>SUM(E31+E50+E54+E58+E60+E62+E64)</f>
        <v>25661.940000000002</v>
      </c>
      <c r="F66" s="260">
        <f>SUM(F31+F50+F54+F58+F60+F62+F64)</f>
        <v>148</v>
      </c>
      <c r="G66" s="16"/>
    </row>
    <row r="67" spans="2:7">
      <c r="B67" s="22"/>
      <c r="C67" s="23"/>
      <c r="D67" s="23"/>
      <c r="E67" s="23"/>
      <c r="F67" s="23"/>
    </row>
    <row r="68" spans="2:7">
      <c r="B68" s="22"/>
      <c r="C68" s="23"/>
      <c r="D68" s="23"/>
      <c r="E68" s="23"/>
      <c r="F68" s="23"/>
    </row>
    <row r="69" spans="2:7">
      <c r="B69" s="24" t="s">
        <v>223</v>
      </c>
    </row>
    <row r="70" spans="2:7">
      <c r="B70" s="24"/>
    </row>
    <row r="71" spans="2:7">
      <c r="B71" s="25" t="s">
        <v>75</v>
      </c>
    </row>
    <row r="72" spans="2:7">
      <c r="B72" s="25" t="s">
        <v>219</v>
      </c>
    </row>
    <row r="73" spans="2:7">
      <c r="B73" s="25" t="s">
        <v>220</v>
      </c>
    </row>
    <row r="74" spans="2:7">
      <c r="B74" s="26"/>
    </row>
    <row r="75" spans="2:7">
      <c r="B75" s="25" t="s">
        <v>221</v>
      </c>
    </row>
    <row r="77" spans="2:7">
      <c r="B77" t="s">
        <v>76</v>
      </c>
    </row>
    <row r="78" spans="2:7" ht="15.75" customHeight="1"/>
  </sheetData>
  <mergeCells count="8">
    <mergeCell ref="B65:G65"/>
    <mergeCell ref="B55:B57"/>
    <mergeCell ref="B4:G4"/>
    <mergeCell ref="B5:G5"/>
    <mergeCell ref="B6:G6"/>
    <mergeCell ref="B8:B30"/>
    <mergeCell ref="B32:B49"/>
    <mergeCell ref="B51:G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AA34-760D-4611-8F42-1AC705F88275}">
  <dimension ref="A3:F5"/>
  <sheetViews>
    <sheetView topLeftCell="B1" workbookViewId="0">
      <selection activeCell="D10" sqref="D10"/>
    </sheetView>
  </sheetViews>
  <sheetFormatPr defaultColWidth="12.44140625" defaultRowHeight="14.4"/>
  <cols>
    <col min="1" max="1" width="75.44140625" customWidth="1"/>
    <col min="2" max="2" width="41.33203125" customWidth="1"/>
    <col min="3" max="3" width="40.21875" customWidth="1"/>
    <col min="4" max="4" width="62.33203125" customWidth="1"/>
    <col min="6" max="6" width="78.44140625" customWidth="1"/>
  </cols>
  <sheetData>
    <row r="3" spans="1:6" ht="31.2">
      <c r="B3" s="110" t="s">
        <v>170</v>
      </c>
      <c r="C3" s="111" t="s">
        <v>171</v>
      </c>
      <c r="D3" s="111" t="s">
        <v>8</v>
      </c>
    </row>
    <row r="4" spans="1:6" ht="36">
      <c r="A4" s="112" t="s">
        <v>172</v>
      </c>
      <c r="B4" s="269">
        <v>499224.97</v>
      </c>
      <c r="C4" s="269">
        <v>381519.32</v>
      </c>
      <c r="D4" s="270">
        <v>2290</v>
      </c>
      <c r="E4" s="113"/>
      <c r="F4" s="114"/>
    </row>
    <row r="5" spans="1:6">
      <c r="D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Di Terlizzi</dc:creator>
  <cp:lastModifiedBy>Ilaria Cassese</cp:lastModifiedBy>
  <dcterms:created xsi:type="dcterms:W3CDTF">2024-09-05T07:12:50Z</dcterms:created>
  <dcterms:modified xsi:type="dcterms:W3CDTF">2024-09-16T15:15:55Z</dcterms:modified>
</cp:coreProperties>
</file>