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-smb.comune.milano.local\Direzione\COORDINAMENTO\0 Trasparenza\ANTICORRUZIONE E TRASPARENZA\2026\TRASPARENZA\Art. 30_introiti MENSILE\2. Febbraio\pubblicazione\"/>
    </mc:Choice>
  </mc:AlternateContent>
  <xr:revisionPtr revIDLastSave="0" documentId="13_ncr:1_{B4C289D0-0FC0-4FD3-9844-4C3CA80A6E48}" xr6:coauthVersionLast="47" xr6:coauthVersionMax="47" xr10:uidLastSave="{00000000-0000-0000-0000-000000000000}"/>
  <bookViews>
    <workbookView xWindow="-108" yWindow="-108" windowWidth="23256" windowHeight="12276" activeTab="9" xr2:uid="{7AD9391E-FB7B-4810-9FC6-2309B90017E9}"/>
  </bookViews>
  <sheets>
    <sheet name="M1" sheetId="1" r:id="rId1"/>
    <sheet name="M2" sheetId="2" r:id="rId2"/>
    <sheet name="M3" sheetId="3" r:id="rId3"/>
    <sheet name="M4" sheetId="4" r:id="rId4"/>
    <sheet name="M5" sheetId="5" r:id="rId5"/>
    <sheet name="M6" sheetId="6" r:id="rId6"/>
    <sheet name="M7" sheetId="7" r:id="rId7"/>
    <sheet name="M8" sheetId="8" r:id="rId8"/>
    <sheet name="M9" sheetId="9" r:id="rId9"/>
    <sheet name="TOTALI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8" l="1"/>
  <c r="D72" i="8"/>
  <c r="F72" i="8"/>
  <c r="F70" i="8"/>
  <c r="E70" i="8"/>
  <c r="D70" i="8"/>
  <c r="F68" i="8"/>
  <c r="F74" i="8" s="1"/>
  <c r="E68" i="8"/>
  <c r="E74" i="8" s="1"/>
  <c r="D68" i="8"/>
  <c r="E66" i="8"/>
  <c r="E63" i="8"/>
  <c r="E57" i="8"/>
  <c r="E50" i="8"/>
  <c r="D50" i="8"/>
  <c r="F66" i="8"/>
  <c r="D66" i="8"/>
  <c r="F63" i="8"/>
  <c r="D63" i="8"/>
  <c r="F57" i="8"/>
  <c r="D57" i="8"/>
  <c r="F49" i="8"/>
  <c r="F48" i="8"/>
  <c r="F47" i="8"/>
  <c r="F46" i="8"/>
  <c r="F45" i="8"/>
  <c r="F44" i="8"/>
  <c r="F43" i="8"/>
  <c r="F42" i="8"/>
  <c r="F41" i="8"/>
  <c r="F40" i="8"/>
  <c r="F37" i="8"/>
  <c r="F36" i="8"/>
  <c r="F35" i="8"/>
  <c r="F34" i="8"/>
  <c r="F24" i="8"/>
  <c r="F23" i="8"/>
  <c r="F22" i="8"/>
  <c r="F21" i="8"/>
  <c r="F20" i="8"/>
  <c r="F18" i="8"/>
  <c r="F16" i="8"/>
  <c r="F15" i="8"/>
  <c r="F14" i="8"/>
  <c r="F13" i="8"/>
  <c r="F50" i="8" s="1"/>
  <c r="F12" i="8"/>
  <c r="D74" i="8" l="1"/>
  <c r="G56" i="1"/>
  <c r="F56" i="1"/>
  <c r="E56" i="1"/>
  <c r="F30" i="1"/>
  <c r="F63" i="1"/>
  <c r="E63" i="1"/>
  <c r="G30" i="1"/>
  <c r="E30" i="1"/>
  <c r="G69" i="1" l="1"/>
  <c r="F69" i="1"/>
  <c r="E69" i="1"/>
  <c r="E82" i="2"/>
  <c r="F78" i="2"/>
  <c r="F82" i="2" s="1"/>
  <c r="E78" i="2"/>
  <c r="D78" i="2"/>
  <c r="F71" i="2"/>
  <c r="E71" i="2"/>
  <c r="D71" i="2"/>
  <c r="F65" i="2"/>
  <c r="E65" i="2"/>
  <c r="D65" i="2"/>
  <c r="F80" i="2"/>
  <c r="E80" i="2"/>
  <c r="D80" i="2"/>
  <c r="F73" i="2"/>
  <c r="E73" i="2"/>
  <c r="D73" i="2"/>
  <c r="D74" i="2" s="1"/>
  <c r="D75" i="2" s="1"/>
  <c r="F69" i="2"/>
  <c r="E69" i="2"/>
  <c r="D69" i="2"/>
  <c r="F59" i="2"/>
  <c r="E59" i="2"/>
  <c r="D59" i="2"/>
  <c r="F110" i="6"/>
  <c r="E110" i="6"/>
  <c r="D110" i="6"/>
  <c r="E108" i="6"/>
  <c r="D108" i="6"/>
  <c r="E91" i="6"/>
  <c r="F88" i="6"/>
  <c r="E88" i="6"/>
  <c r="D88" i="6"/>
  <c r="E84" i="6"/>
  <c r="F61" i="6"/>
  <c r="E61" i="6"/>
  <c r="F54" i="7"/>
  <c r="F52" i="7"/>
  <c r="E52" i="7"/>
  <c r="F58" i="9"/>
  <c r="E58" i="9"/>
  <c r="F56" i="9"/>
  <c r="E56" i="9"/>
  <c r="D56" i="9"/>
  <c r="F54" i="9"/>
  <c r="E54" i="9"/>
  <c r="D54" i="9"/>
  <c r="F52" i="9"/>
  <c r="E52" i="9"/>
  <c r="D52" i="9"/>
  <c r="F50" i="9"/>
  <c r="E50" i="9"/>
  <c r="D50" i="9"/>
  <c r="F46" i="9"/>
  <c r="E46" i="9"/>
  <c r="D46" i="9"/>
  <c r="E42" i="9"/>
  <c r="D42" i="9"/>
  <c r="F36" i="9"/>
  <c r="E36" i="9"/>
  <c r="D36" i="9"/>
  <c r="D82" i="2" l="1"/>
  <c r="D58" i="9"/>
  <c r="F73" i="7" l="1"/>
  <c r="E73" i="7"/>
  <c r="D73" i="7"/>
  <c r="F69" i="7"/>
  <c r="E69" i="7"/>
  <c r="F64" i="7"/>
  <c r="E64" i="7"/>
  <c r="E54" i="7"/>
  <c r="D54" i="7"/>
  <c r="D52" i="7"/>
  <c r="F71" i="7"/>
  <c r="E71" i="7"/>
  <c r="D71" i="7"/>
  <c r="D69" i="7"/>
  <c r="F67" i="7"/>
  <c r="E67" i="7"/>
  <c r="D67" i="7"/>
  <c r="E63" i="7"/>
  <c r="D62" i="7"/>
  <c r="E61" i="7"/>
  <c r="D61" i="7"/>
  <c r="F60" i="7"/>
  <c r="E60" i="7"/>
  <c r="D60" i="7"/>
  <c r="E59" i="7"/>
  <c r="D59" i="7"/>
  <c r="F58" i="7"/>
  <c r="E58" i="7"/>
  <c r="D58" i="7"/>
  <c r="F49" i="7"/>
  <c r="D48" i="7"/>
  <c r="D47" i="7"/>
  <c r="D46" i="7"/>
  <c r="D45" i="7"/>
  <c r="D44" i="7"/>
  <c r="D43" i="7"/>
  <c r="D41" i="7"/>
  <c r="D40" i="7"/>
  <c r="D35" i="7"/>
  <c r="D33" i="7"/>
  <c r="D23" i="7"/>
  <c r="F18" i="7"/>
  <c r="D18" i="7"/>
  <c r="D16" i="7"/>
  <c r="F13" i="7"/>
  <c r="D11" i="7"/>
  <c r="D64" i="7" l="1"/>
  <c r="F108" i="6" l="1"/>
  <c r="F106" i="6"/>
  <c r="E106" i="6"/>
  <c r="D106" i="6"/>
  <c r="F95" i="6"/>
  <c r="E95" i="6"/>
  <c r="D95" i="6"/>
  <c r="F91" i="6"/>
  <c r="D91" i="6"/>
  <c r="F84" i="6"/>
  <c r="D84" i="6"/>
  <c r="D61" i="6"/>
  <c r="F62" i="5" l="1"/>
  <c r="E62" i="5"/>
  <c r="F49" i="5"/>
  <c r="D49" i="5"/>
  <c r="F44" i="5"/>
  <c r="E44" i="5"/>
  <c r="E37" i="5"/>
  <c r="F60" i="5"/>
  <c r="E60" i="5"/>
  <c r="D60" i="5"/>
  <c r="F58" i="5"/>
  <c r="E58" i="5"/>
  <c r="D58" i="5"/>
  <c r="F56" i="5"/>
  <c r="E56" i="5"/>
  <c r="D56" i="5"/>
  <c r="F54" i="5"/>
  <c r="E54" i="5"/>
  <c r="D54" i="5"/>
  <c r="E49" i="5"/>
  <c r="D44" i="5"/>
  <c r="D41" i="5"/>
  <c r="F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1" i="5"/>
  <c r="D20" i="5"/>
  <c r="D19" i="5"/>
  <c r="D18" i="5"/>
  <c r="D17" i="5"/>
  <c r="D16" i="5"/>
  <c r="D15" i="5"/>
  <c r="D14" i="5"/>
  <c r="D13" i="5"/>
  <c r="D12" i="5"/>
  <c r="D11" i="5"/>
  <c r="D10" i="5"/>
  <c r="D37" i="5" s="1"/>
  <c r="D62" i="5" s="1"/>
  <c r="D9" i="5"/>
  <c r="D8" i="5"/>
  <c r="F62" i="4" l="1"/>
  <c r="E62" i="4"/>
  <c r="F45" i="4"/>
  <c r="E45" i="4"/>
  <c r="F60" i="4"/>
  <c r="E60" i="4"/>
  <c r="D60" i="4"/>
  <c r="F58" i="4"/>
  <c r="E58" i="4"/>
  <c r="D58" i="4"/>
  <c r="F56" i="4"/>
  <c r="E56" i="4"/>
  <c r="D56" i="4"/>
  <c r="F54" i="4"/>
  <c r="E54" i="4"/>
  <c r="D54" i="4"/>
  <c r="F52" i="4"/>
  <c r="E52" i="4"/>
  <c r="D52" i="4"/>
  <c r="F48" i="4"/>
  <c r="E48" i="4"/>
  <c r="D48" i="4"/>
  <c r="D45" i="4"/>
  <c r="D62" i="4" l="1"/>
  <c r="F76" i="3" l="1"/>
  <c r="E76" i="3"/>
  <c r="D76" i="3"/>
  <c r="F74" i="3"/>
  <c r="E74" i="3"/>
  <c r="F72" i="3"/>
  <c r="E72" i="3"/>
  <c r="F70" i="3"/>
  <c r="E70" i="3"/>
  <c r="F68" i="3"/>
  <c r="E68" i="3"/>
  <c r="F66" i="3"/>
  <c r="E66" i="3"/>
  <c r="F64" i="3"/>
  <c r="E64" i="3"/>
  <c r="F60" i="3"/>
  <c r="E60" i="3"/>
  <c r="F55" i="3"/>
  <c r="E55" i="3"/>
  <c r="D74" i="3"/>
  <c r="D72" i="3"/>
  <c r="D70" i="3"/>
  <c r="D68" i="3"/>
  <c r="D66" i="3"/>
  <c r="D64" i="3"/>
  <c r="D60" i="3"/>
  <c r="D55" i="3"/>
</calcChain>
</file>

<file path=xl/sharedStrings.xml><?xml version="1.0" encoding="utf-8"?>
<sst xmlns="http://schemas.openxmlformats.org/spreadsheetml/2006/main" count="1032" uniqueCount="561">
  <si>
    <r>
      <t>totale canoni percepiti da gennaio</t>
    </r>
    <r>
      <rPr>
        <b/>
        <i/>
        <sz val="12"/>
        <rFont val="Calibri"/>
        <family val="2"/>
        <charset val="1"/>
      </rPr>
      <t xml:space="preserve"> 2026</t>
    </r>
  </si>
  <si>
    <t>totale tariffe orarie e 
canoni annui pattuiti</t>
  </si>
  <si>
    <t>numero totale contratti 
gestiti</t>
  </si>
  <si>
    <r>
      <t xml:space="preserve">TOTALE GENERALE 9 MUNICIPI
</t>
    </r>
    <r>
      <rPr>
        <sz val="14"/>
        <color theme="1"/>
        <rFont val="Aptos Narrow"/>
        <family val="2"/>
        <charset val="1"/>
        <scheme val="minor"/>
      </rPr>
      <t>importo comprensivo di I.V.A. ai sensi di legge</t>
    </r>
  </si>
  <si>
    <t>Comune di Milano</t>
  </si>
  <si>
    <t>DIREZIONE SERVIZI CIVICI E MUNICIPI</t>
  </si>
  <si>
    <t>INTROITI PER CONCESSIONI DI LOCALI SCOLASTICI, SPAZI MULTIUSO, IMMOBILI E AREE - PERIODO: GENNAIO - FEBBRAIO 2026</t>
  </si>
  <si>
    <t>MUNICIPIO 3</t>
  </si>
  <si>
    <t xml:space="preserve"> LOCALI SCOLASTICI E SPAZI MULTIUSO</t>
  </si>
  <si>
    <t>tipologia di procedimento</t>
  </si>
  <si>
    <t>tipologia
immobile/ area
indirizzo</t>
  </si>
  <si>
    <t>totale canoni percepiti a partire da gennaio 2026</t>
  </si>
  <si>
    <t>tariffa oraria pattuita</t>
  </si>
  <si>
    <t>Note 
(ragioni per cui il canone percepito è superiore al canone annuo pattuito ed aventuali altre annotazioni)</t>
  </si>
  <si>
    <t>I.C Stoppani plesso primaria Bacone 
via Matteucci 3
Palestra grande</t>
  </si>
  <si>
    <t>A.S. 2025-2026</t>
  </si>
  <si>
    <t>I.C Stoppani plesso primaria Bacone 
via Matteucci 3
Palestra piccola</t>
  </si>
  <si>
    <t>I.C Stoppani plesso primaria Bacone 
via Matteucci 3
Aula Cinema</t>
  </si>
  <si>
    <t>I.C Stoppani plesso primaria Bacone 
via Matteucci 3
Aula Tatami</t>
  </si>
  <si>
    <t>I.C Stoppani plesso primaria Stoppani 
via Stoppani 1
Palestra grande</t>
  </si>
  <si>
    <t>I.C Stoppani plesso secondaria Caterina da Siena 
via Monteverdi 6
Palestra grande</t>
  </si>
  <si>
    <t>I.C. Scarpa plesso primaria Scarpa
via Clericetti 22
Palestra</t>
  </si>
  <si>
    <t>I.C. Scarpa plesso primaria Scarpa
via Clericetti 22
Aula</t>
  </si>
  <si>
    <t>I.C. Scarpa plesso primaria Elsa Morante
via Pini 3
Palestra</t>
  </si>
  <si>
    <t>I.C. Scarpa plesso primaria Elsa Morante
via Pini 3
Aula</t>
  </si>
  <si>
    <t>I.C. Scarpa plesso secondaria Cairoli
via Pascal 35
Palestra</t>
  </si>
  <si>
    <t>I.C. Scarpa plesso secondaria Cairoli
via Pascal 35
Aula</t>
  </si>
  <si>
    <t>I.C. Scarpa plesso secondaria Cairoli
via Pascal 35
Aula cinema</t>
  </si>
  <si>
    <t>I.C Guido Galli primaria Nolli Arquati
V.le Romagna 16/18
Palestra superiore</t>
  </si>
  <si>
    <t>I.C Guido Galli primaria Nolli Arquati
V.le Romagna 16/18
Palestra inferiore</t>
  </si>
  <si>
    <t xml:space="preserve">I.C Guido Galli primaria Nolli Arquati
V.le Romagna 16/18
Aula </t>
  </si>
  <si>
    <t>I.C Guido Galli primaria Bonetti
via Tajani 12
Palestra</t>
  </si>
  <si>
    <t>I.C Guido Galli primaria Bonetti
via Tajani 12
Aula</t>
  </si>
  <si>
    <t>I.C Guido Galli primaria Toti
via Cima 15
Palestra</t>
  </si>
  <si>
    <t>I.C Guido Galli primaria Toti
via Cima 15
Aula</t>
  </si>
  <si>
    <t xml:space="preserve">I.C Maniago plesso primaria Munari
via Feltre 68
Palestra </t>
  </si>
  <si>
    <t>I.C Maniago plesso primaria Munari
via Feltre 68
Palestra Multiuso</t>
  </si>
  <si>
    <t>I.C Maniago plesso primaria Munari
via Feltre 68
Aula</t>
  </si>
  <si>
    <t>I.C Maniago plesso primaria Fermi
via Carnia 32
Palestra</t>
  </si>
  <si>
    <t>I.C Maniago plesso primaria Fermi
via Carnia 32
Aula</t>
  </si>
  <si>
    <t>I.C Maniago plesso secondaria Buzzati
via Maniago 30
Palestra grande</t>
  </si>
  <si>
    <t>I.C Maniago plesso secondaria Buzzati
via Maniago 30
Palestra piccola</t>
  </si>
  <si>
    <t>I.C Maniago plesso secondaria Buzzati
via Maniago 30
Aula</t>
  </si>
  <si>
    <t>I.C Pisacane plesso primaria Pisacane
via Pisacane 9
Palestra grande</t>
  </si>
  <si>
    <t>I.C Pisacane plesso primaria Pisacane
via Pisacane 9
Palestra piccola</t>
  </si>
  <si>
    <t>I.C Pisacane plesso primaria Pisacane
via Pisacane 9
Auditorium</t>
  </si>
  <si>
    <t>I.C Pisacane plesso primaria Pisacane
via Pisacane 9
Aula</t>
  </si>
  <si>
    <t>I.C Pisacane plesso secondaria Locatelli Oriani
via Pisacane 13
Palestra</t>
  </si>
  <si>
    <t>I.C Pisacane plesso secondaria Locatelli Oriani
via Pisacane 13
Aula</t>
  </si>
  <si>
    <t>I.C. Galvani plesso primaria M. di Savoia e C. Borromeo
via Casati 6
Palestra</t>
  </si>
  <si>
    <t>I.C. Galvani plesso primaria M. di Savoia e C. Borromeo
via Casati 6
Aula teatro</t>
  </si>
  <si>
    <t>I.C. Galvani plesso primaria M. di Savoia e C. Borromeo
via Casati 6
Aula pisicomotricita</t>
  </si>
  <si>
    <t>I.C. Galvani plesso primaria M. di Savoia e C. Borromeo
via Casati 6
Aula psicomotricità</t>
  </si>
  <si>
    <t>I.C. Quintino di Vona primaria Tito Speri
via Porpora 11
Palestra</t>
  </si>
  <si>
    <t>I.C. Quintino di Vona primaria Tito Speri
via Porpora 11
Aula</t>
  </si>
  <si>
    <t>I.C. Quintino di Vona secondaria
via Sacchini 34
Palestra</t>
  </si>
  <si>
    <t>I.C. Leonardo da Vinci
Piazza Leonardo da Vinvci
Aula</t>
  </si>
  <si>
    <t>I.C. Leonardo da Vinci
Piazza Leonardo da Vinvci
Palestra ovest</t>
  </si>
  <si>
    <t>I.C. Leonardo da Vinci
Piazza Leonardo da Vinvci
Palestra piccola</t>
  </si>
  <si>
    <t xml:space="preserve">Palestra
Via Pini 1
</t>
  </si>
  <si>
    <t>Spazio in carico al Municipio 3 gestito con la stessa procedura dei locali scolastici.
A.S. 2025-2026</t>
  </si>
  <si>
    <t>totale</t>
  </si>
  <si>
    <t>concessione in uso spazi multiuso</t>
  </si>
  <si>
    <t>Via Sansovino, 9
Aula Consiliare</t>
  </si>
  <si>
    <t>Gratuità prevista con Delibera per le istituzioni scolastiche e i gruppi consiliari del Municipio 3.</t>
  </si>
  <si>
    <t>Via Valvassori Peroni, 56
Auditorium</t>
  </si>
  <si>
    <t>IMMOBILI E AREE</t>
  </si>
  <si>
    <t>tipologia
immobile/ area 
indirizzo</t>
  </si>
  <si>
    <t>canone annuo pattuito</t>
  </si>
  <si>
    <t>Note
(ragioni per cui il canone percepito è superiore al canone annuo pattuito ed aventuali altre annotazioni)</t>
  </si>
  <si>
    <t>concessione d'uso immobili per progetti di sviluppo di attività culturali ed economiche</t>
  </si>
  <si>
    <t>concessione in uso particelle ortive</t>
  </si>
  <si>
    <t>Orti ubicati in via Carlo Cazzanga</t>
  </si>
  <si>
    <t xml:space="preserve">Asegnazioni di nuovi orti </t>
  </si>
  <si>
    <t>Orti ubicati in via Canelli Folli</t>
  </si>
  <si>
    <t>I canoni saranno introitati alla scadenza dell'annualità ovvero aprile 2025 aggiornati all'indice ISTAT.</t>
  </si>
  <si>
    <t>concessione impianti sportivi</t>
  </si>
  <si>
    <t>Via Tucidide, 10
Centro sportivo Scarioni</t>
  </si>
  <si>
    <t xml:space="preserve">Corrispettivo contrattuale con adeguamento ISTAT riferito all'anno 2025.
Al netto di iva al 22%.
</t>
  </si>
  <si>
    <t>concessioni in uso di spazi diversi dai precedenti</t>
  </si>
  <si>
    <t>BAR
via Valvassori Peroni</t>
  </si>
  <si>
    <t>Nuovo contratto di concessione iniziato il 01/06/2024 dal 2° trimestre applicato indice ISTAT</t>
  </si>
  <si>
    <t>concessioni in comodato d'uso</t>
  </si>
  <si>
    <r>
      <rPr>
        <b/>
        <sz val="12"/>
        <color theme="1"/>
        <rFont val="Aptos Narrow"/>
        <family val="2"/>
        <scheme val="minor"/>
      </rPr>
      <t>TOTALE GENERALE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>importo comprensivo di I.V.A. ai sensi di legge</t>
    </r>
  </si>
  <si>
    <t>Municipio 3</t>
  </si>
  <si>
    <t>Dr.ssa  Elisabetta Pedratti</t>
  </si>
  <si>
    <t xml:space="preserve">Il DIRETTORE </t>
  </si>
  <si>
    <t>Giovanni Campana</t>
  </si>
  <si>
    <t>Per la Responsabile Unità Coordinamento</t>
  </si>
  <si>
    <t>Milano, 12 marzo 2026</t>
  </si>
  <si>
    <t>nessuna concessione</t>
  </si>
  <si>
    <t>INTROITI PER CONCESSIONI DI LOCALI SCOLASTICI, SPAZI MULTIUSO, IMMOBILI E AREE - PERIODO: GENNAIO 2026 - FEBBRAIO 2026</t>
  </si>
  <si>
    <t>MUNICIPIO 4</t>
  </si>
  <si>
    <t>concessioni in uso di locali scolastici (per singolo plesso)</t>
  </si>
  <si>
    <t xml:space="preserve">Laboratorio  Scuola Primaria Viale Mugello </t>
  </si>
  <si>
    <t>Palestra Scuola Secondaria Via Medici del Vascello</t>
  </si>
  <si>
    <t>Aula Pittura Scuola Primaria Via Meleri</t>
  </si>
  <si>
    <t>palestra della Scuola Secondaria  Via Mondolfo</t>
  </si>
  <si>
    <t>Palestra Scuola Secondaria Manara</t>
  </si>
  <si>
    <t xml:space="preserve">PALESTRA SECONDARIA CIPRO </t>
  </si>
  <si>
    <t xml:space="preserve"> PALESTRA PRIMARIA MONTE VELINO</t>
  </si>
  <si>
    <t xml:space="preserve"> PALESTRA PRIMARIA MUGELLO </t>
  </si>
  <si>
    <t xml:space="preserve">PALESTRA PRIMARIA COLLETTA  </t>
  </si>
  <si>
    <t xml:space="preserve">PALESTRA VIA COVA </t>
  </si>
  <si>
    <t xml:space="preserve">PALESTRA MEDA FERRARIN VIA MONDOLFO </t>
  </si>
  <si>
    <t xml:space="preserve"> PALESTRA MOROSINI PRIMO PIANO</t>
  </si>
  <si>
    <t xml:space="preserve">SECONDARIA  MEZZOFANTI LATO DEVOTO </t>
  </si>
  <si>
    <t xml:space="preserve"> LABORATORIO PSICOMOTRICITA PRIMARIA VIA MOROSINI </t>
  </si>
  <si>
    <t xml:space="preserve"> SALONE-ANDRONE PRIMARIA VIA MOROSINI  </t>
  </si>
  <si>
    <t xml:space="preserve"> PAL MEREZZATE SEC MEDICI DEL VASCELLO</t>
  </si>
  <si>
    <t>PAL MONTE POPERA PRIMARIA MOTE PIANA</t>
  </si>
  <si>
    <t xml:space="preserve"> PALESTRA PRIMARIA POLESINE A.S.</t>
  </si>
  <si>
    <t xml:space="preserve">PALESTRA P.T. PRIMARIA VIA COLLETTA </t>
  </si>
  <si>
    <t xml:space="preserve"> AULA PITTURA SCUOLA PRIMARIA VIA MELERI PERIODO GENNAIO 2026</t>
  </si>
  <si>
    <t xml:space="preserve"> AULA DIDATTICA PRIMARIA MONTE PIANA</t>
  </si>
  <si>
    <t xml:space="preserve">PALESTRA PRIMARIA OGLIO </t>
  </si>
  <si>
    <t xml:space="preserve"> PALESTRA SECONDARIA F. D'ASSISI VIA DALMAZIA</t>
  </si>
  <si>
    <t xml:space="preserve"> PALESTRA MONTE PIANA PRIMARIA MONTE PIANA </t>
  </si>
  <si>
    <t xml:space="preserve"> AULA ORDINARIA SECONDO PIANO LATO DEVOTO DELLA SCUOLA PRIMARIA MEZZOFANTI</t>
  </si>
  <si>
    <t xml:space="preserve"> PALESTRA PIANO RIALZATO SECONDARIA DE ANDREIS</t>
  </si>
  <si>
    <t xml:space="preserve"> PALESTRA PIANO SEMINTERRATO SECONDARIA DE ANDREIS </t>
  </si>
  <si>
    <t xml:space="preserve"> PALESTRA PRIMARIA DECORATI </t>
  </si>
  <si>
    <t xml:space="preserve"> AULA 1 ORDINARIA SECONDO PIANO PRIMARIA MELERI</t>
  </si>
  <si>
    <t xml:space="preserve"> AULA 2 ORDINARIA SECONDO PIANO PRIMARIA MELERI </t>
  </si>
  <si>
    <t xml:space="preserve"> AULA 3 ORDINARIA SECONDO PIANO PRIMARIA MELERI </t>
  </si>
  <si>
    <t xml:space="preserve">AULA MUSICA PRIMARIA VIA MOROSINI </t>
  </si>
  <si>
    <t>LABORATORIO DELLE ARTI (AULA 91) PRIMARIA VIALE MUGELLO</t>
  </si>
  <si>
    <t xml:space="preserve">AULA N 93 PRIMARIA VIALE MUGELLO </t>
  </si>
  <si>
    <t xml:space="preserve">PALESTRA PRIMARIA VIA MARTINENGO </t>
  </si>
  <si>
    <t xml:space="preserve"> PALESTRINA PRIMARIA VIA MARTINENGO </t>
  </si>
  <si>
    <t xml:space="preserve"> AULA DOPOSCUOLA PRIMARIA VIA SORDELLO </t>
  </si>
  <si>
    <t>CdQ Mondolfo</t>
  </si>
  <si>
    <t xml:space="preserve">non si tratta di una tariffa oraria, ma di una tariffa relativa ad un blocco di utilizzo di 4h a cui si aggiunge una tariffa oraria per ogni ora di utilizzo oltre  le prime 4 </t>
  </si>
  <si>
    <t>Milano, data della firma digitale</t>
  </si>
  <si>
    <t>Il/La Responsabile Unità Coordinamento</t>
  </si>
  <si>
    <t>Municipio 4</t>
  </si>
  <si>
    <t>*Dr. Tommaso Innocente</t>
  </si>
  <si>
    <t>*Il documento è firmato digitalmente ai sensi del D. Lgs. 82/2005 s.m.i. e norme collegate e sostituisce il documento cartaceo e la firma autografa.</t>
  </si>
  <si>
    <t>Milano, 6 marzo 2026</t>
  </si>
  <si>
    <t>Il Responsabile Unità Coordinamento</t>
  </si>
  <si>
    <t>MUNICIPIO 5</t>
  </si>
  <si>
    <t xml:space="preserve">ICS  ARCADIA - Via dell'Arcadia 22 
scuola primaria Arcadia 
palestra mq 847
</t>
  </si>
  <si>
    <t>ICS ARCADIA - Via dell'Arcadia 24 
scuola secondaria Arcadia 
palestra mq 848</t>
  </si>
  <si>
    <t>ICS ARCADIA - Via Baroni 73 (saponaro 36) 
scuola primaria Baroni 
palestra mq 260</t>
  </si>
  <si>
    <t>ICS ARCADIA Via Feraboli 44 
scuola Primaria Feraboli 
palestra grande mq 306 
palestra piccola mq 173</t>
  </si>
  <si>
    <t xml:space="preserve">ICS BAROZZI Via Bocconi 17 
scuola primaria Barozzi 
palestra mq 264
</t>
  </si>
  <si>
    <t>ICS BAROZZI Via G. Romano 2 
scuola primaria Giulio Romano 
palestra mq 186</t>
  </si>
  <si>
    <t xml:space="preserve">ICS BAROZZI Via Vittadini 10 
Scuola Confalonieri 
palestra mq 286
</t>
  </si>
  <si>
    <t xml:space="preserve">IC CAPPONI Via Pescarenico 6 
Elementare "MORO" 
aula ora alternativa mq 34
</t>
  </si>
  <si>
    <t xml:space="preserve">ICS Elsa Morante - Via Antonini 50 - Scuola primaria Damiano Chiesa 
palestra di mq 165
atrio rotondo 0 - 200 mq 
corridoio 200-500 mq
                                                          </t>
  </si>
  <si>
    <t>ICS Elsa Morante - Via dei Bognetti 15 
Scuola primaria 
palestra grande mq 374 
palestra piccola mq 280
aula mq 17</t>
  </si>
  <si>
    <t>ICS Elsa Morante - Via Heine 2 
Scuola Secondaria 
palestra grande mq 436
palestra piccola mq 215</t>
  </si>
  <si>
    <t>ICS F. FILZI Via dei Guarneri 21 
scuola media Toscanini 
palestra mq 615</t>
  </si>
  <si>
    <t>ICS F. FILZI Via Wolf Ferrari 6 
Scuola primaria 
palestra mq 252 
salone mq 64</t>
  </si>
  <si>
    <t>IC PALMIERI Via Palmieri 24 
scuola primaria C. Battisti
palestra mq 180
aula mq 51</t>
  </si>
  <si>
    <t>IC PALMIERI Via S. Giacomo 1 
scuola primaria C. Peroni 
palestra mq 250 
palestrina psicomotricità mq 82 aula scacchi mq 40</t>
  </si>
  <si>
    <t>IC PALMIERI Via Boifava 52 
scuola secondaria 
S. Pertini 
palestra mq 263</t>
  </si>
  <si>
    <t>IC THOUAR GONZAGA via Brunacci 2/4
scuola primaria
palestra mq 176
aula mq 55</t>
  </si>
  <si>
    <t>IC THOUAR GONZAGA Via Gentilino 14  
scuola primaria 
Plesso Piolti de Bianchi - G. Stampa 
palestra mq 235 
n. 1 aula mq 25</t>
  </si>
  <si>
    <t>IC THOUAR GONZAGA Via Tabacchi 15/A 
scuola secondaria di I grado 
O. TABACCHI 
palestra mq 241</t>
  </si>
  <si>
    <t xml:space="preserve">Casa di Quartiere /Viale Tibaldi, 41 </t>
  </si>
  <si>
    <t>la tariffa è fissata, per atto interno, fino ad un massimo di 4 ore. Per slot aggiuntivi vi sono tariffe variabili</t>
  </si>
  <si>
    <t>Casa di Quartiere /Via Palmieri,20</t>
  </si>
  <si>
    <t>Canone Gratuito</t>
  </si>
  <si>
    <t xml:space="preserve">Casa di Quartiere /Saponaro, 30 </t>
  </si>
  <si>
    <t>Casa di Quartiere /Boifava, 17</t>
  </si>
  <si>
    <t>via della Chiesa Rossa n. 55 Milano</t>
  </si>
  <si>
    <t>Via San Bernardo n. 17 Milano</t>
  </si>
  <si>
    <t>via Campazzino</t>
  </si>
  <si>
    <t>via Teresa Noce</t>
  </si>
  <si>
    <t>via Selvanesco</t>
  </si>
  <si>
    <t>via Vaiano Valle</t>
  </si>
  <si>
    <r>
      <rPr>
        <b/>
        <sz val="12"/>
        <color rgb="FF000000"/>
        <rFont val="Calibri"/>
        <family val="2"/>
        <charset val="1"/>
      </rPr>
      <t xml:space="preserve">TOTALE GENERALE
</t>
    </r>
    <r>
      <rPr>
        <sz val="11"/>
        <color theme="1"/>
        <rFont val="Aptos Narrow"/>
        <family val="2"/>
        <scheme val="minor"/>
      </rPr>
      <t>importo comprensivo di I.V.A. ai sensi di legge</t>
    </r>
  </si>
  <si>
    <t>Municipio 5</t>
  </si>
  <si>
    <t>Dott.ssa Valeria Furnari</t>
  </si>
  <si>
    <t>La Responsabile Unità Coordinamento</t>
  </si>
  <si>
    <t>Milano, 5 marzo 2026</t>
  </si>
  <si>
    <t xml:space="preserve"> MUNICIPIO 6</t>
  </si>
  <si>
    <t>Scuola Primaria via Anemoni, 8 
Tariffa canone palestra</t>
  </si>
  <si>
    <t>Scuola Primaria via Anemoni, 8
 Tariffa canone aula</t>
  </si>
  <si>
    <t>Scuola Secondaria via Anemoni, 10 tariffa canone palestra</t>
  </si>
  <si>
    <t>Scuola Secondaria via Anemoni, 10 tariffa canone aula</t>
  </si>
  <si>
    <t>Scuola Primaria via dei Narcisi, 2
 Tariffa canone palestra</t>
  </si>
  <si>
    <t>Scuola Primaria via dei Narcisi, 2
 Tariffa canone giardino</t>
  </si>
  <si>
    <t>Scuola Primaria via dei Narcisi, 2
 Tariffa canone aula</t>
  </si>
  <si>
    <t>Scuola Primaria via Pisa 1
 Tariffa canone palestra</t>
  </si>
  <si>
    <t>Scuola Primaria via Pisa 1
 Tariffa canone aula</t>
  </si>
  <si>
    <t>Scuola Primaria via Pisa 1
 Tariffa canone refettorio</t>
  </si>
  <si>
    <t>Scuola Primaria via Pisa 1
 Tariffa canone giardino</t>
  </si>
  <si>
    <t>Scuola Primaria via Bergognone, 2/4 tariffa canone palestra</t>
  </si>
  <si>
    <t>Scuola Primaria via Bergognone, 2/4 tariffa canone aula</t>
  </si>
  <si>
    <t>Scuola Primaria via delle Foppette, 1 tariffa canone palestra</t>
  </si>
  <si>
    <t>Scuola Primaria via delle Foppette, 1 tariffa canone aula</t>
  </si>
  <si>
    <t>Scuola Primaria via delle Foppette, 1 tariffa canone aula magna</t>
  </si>
  <si>
    <t>Scuola Primaria via delle Foppette, 1 tariffa canone giardino</t>
  </si>
  <si>
    <t>Scuola Secondaria via De Nicola, 40 tariffa canone palestra</t>
  </si>
  <si>
    <t>Scuola Secondaria via De Nicola, 40 tariffa canone aula</t>
  </si>
  <si>
    <t>Scuola Primaria via De Nicola, 2
 Tariffa canone palestra</t>
  </si>
  <si>
    <t>Scuola Primaria via De Nicola, 2 
Tariffa canone aula</t>
  </si>
  <si>
    <t>Scuola Primaria via Tosi, 21 
Tariffa canone palestra</t>
  </si>
  <si>
    <t>Scuola Primaria via Tosi, 21 tariffa canone aula</t>
  </si>
  <si>
    <t>Scuola Primaria via Pestalozzi, 13
 Tariffa canone palestra</t>
  </si>
  <si>
    <t>Scuola Primaria via Pestalozzi, 13
 Tariffa canone aula</t>
  </si>
  <si>
    <t>Scuola Secondaria via R. Carriera, 12 tariffa canone palestra</t>
  </si>
  <si>
    <t>Scuola Secondaria via R. Carriera, 12 
Tariffa canone aula</t>
  </si>
  <si>
    <t>Scuola Secondaria via R. Carriera, 12 
Tariffa canone giardino</t>
  </si>
  <si>
    <t>Scuola Primaria via Vespri Siciliani 75 tariffa canone palestra</t>
  </si>
  <si>
    <t>Scuola Primaria via Vespri Siciliani 75 tariffa canone aula</t>
  </si>
  <si>
    <t>Scuola Primaria via Salerno, 3
 Tariffa canone palestra</t>
  </si>
  <si>
    <t>Scuola Primaria via Salerno, 3 
Tariffa canone aula</t>
  </si>
  <si>
    <t>Scuola Primaria via Salerno, 3 
Tariffa canone giardino</t>
  </si>
  <si>
    <t>Scuola Secondaria via Salerno, 1 
Tariffa canone palestra</t>
  </si>
  <si>
    <t>Scuola Secondaria via Salerno, 1 
Tariffa canone aula</t>
  </si>
  <si>
    <t>Scuola Secondaria via San Colombano 8 tariffa canone palestra</t>
  </si>
  <si>
    <t>Scuola Secondaria via San Colombano 8 tariffa canone aula</t>
  </si>
  <si>
    <t>Scuola Secondaria via San Colombano 8 tariffa canone giardino</t>
  </si>
  <si>
    <t>Scuola Primaria via Crivelli, 3 
Tariffa canone palestra</t>
  </si>
  <si>
    <t>Scuola Primaria via Crivelli, 3 
Tariffa canone aula</t>
  </si>
  <si>
    <t>Scuola Secondaria  via Crivelli, 3 
Tariffa canone palestra</t>
  </si>
  <si>
    <t>Scuola Secondaria  via Crivelli, 3
 Tariffa canone aula</t>
  </si>
  <si>
    <t>Scuola Secondaria via Scrosati, 4
 Tariffa canone palestra</t>
  </si>
  <si>
    <t>Scuola Secondaria via Scrosati, 4 
Tariffa canone aula</t>
  </si>
  <si>
    <t>Scuola Primaria via Scrosati, 3 
Tariffa canone palestra</t>
  </si>
  <si>
    <t>Scuola Primaria via Scrosati, 3
 Tariffa canone aula</t>
  </si>
  <si>
    <t>Scuola Primaria via Vigevano, 19
 Tariffa canone palestra</t>
  </si>
  <si>
    <t>Scuola Primaria via Vigevano, 19
 Tariffa canone aula</t>
  </si>
  <si>
    <t>Scuola Secondaria via Zuara, 7
 Tariffa canone palestra</t>
  </si>
  <si>
    <t>Scuola Secondaria via Zuara, 7 
Tariffa canone aula</t>
  </si>
  <si>
    <t>Scuola Primaria via Zuara, 9
 Tariffa canone palestra</t>
  </si>
  <si>
    <t>Scuola Primaria via Zuara, 9 
Tariffa canone aula</t>
  </si>
  <si>
    <t>Scuola Primaria via Zuara, 9
 Tariffa canone giardino</t>
  </si>
  <si>
    <t>ex Fornace tariffa gratuita
Alzaia Naviglio Pavese 16 - piano T</t>
  </si>
  <si>
    <t>ex Fornace tariffa minima
Alzaia Naviglio Pavese 16 - piano T</t>
  </si>
  <si>
    <t>ex Fornace tariffa massima
Alzaia Naviglio Pavese 16 - piano T</t>
  </si>
  <si>
    <t>C.A.M.SAN PAOLINO  tariffa gratuita   via San Paolino  n. 18</t>
  </si>
  <si>
    <t>C.A.M.SAN PAOLINO  tariffa minima  via San Paolino  n. 18</t>
  </si>
  <si>
    <t>C.A.M. SAN PAOLINO tariffa massima via San Paolino n. 18</t>
  </si>
  <si>
    <t>C.A.M. Rudinì tariffa gratuita via Di Rudinì n. 14</t>
  </si>
  <si>
    <t>C.A.M. Rudinì tariffa minima via Di Rudinì n. 14</t>
  </si>
  <si>
    <t>C.A.M. Rudinì tariffa massima via Di Rudinì n. 14</t>
  </si>
  <si>
    <t>SALA CONSILIARE RENZO ORNELLA</t>
  </si>
  <si>
    <t>Seicentro Sala Arianna tariffa gratuita
Via Savona 99</t>
  </si>
  <si>
    <t>Seicentro sala Arianna tariffa minima
Via Savona 99</t>
  </si>
  <si>
    <t>Seicentro sala Arianna tariffa piena
Via Savona 99</t>
  </si>
  <si>
    <t>per le prime 4 ore € 24,76;  per la giornata intera € 99,19</t>
  </si>
  <si>
    <t>Seicentro sala Arianna tariffa di mercato
Via Savona 99</t>
  </si>
  <si>
    <t>Seicentro Sala Calliope  tariffa grauita
Via Savona 99</t>
  </si>
  <si>
    <t>Seicentro sala Calliope tariffa minima
Via Savona 99</t>
  </si>
  <si>
    <t>Seicentro sala Calliope tariffa piena
Via Savona 99</t>
  </si>
  <si>
    <t>Seicentro sala Calliope  tariffa di mercato
Via Savona 99</t>
  </si>
  <si>
    <t>Seicentro sala Teseo  tariffa  gratuita
Via Savona 99</t>
  </si>
  <si>
    <t>Seicentro sala Teseo  tariffa  minima
Via Savona 99</t>
  </si>
  <si>
    <t>Seicentro sala Teseo  tariffa  
piena
Via Savona 99</t>
  </si>
  <si>
    <t>Seicentro sala Teseo  tariffa di mercato
Via Savona 99</t>
  </si>
  <si>
    <t>totale canoni percepiti a partire da gennaio 2025</t>
  </si>
  <si>
    <t xml:space="preserve">Orti Barona - via De Finetti/via Danusso </t>
  </si>
  <si>
    <t xml:space="preserve">Orti  Fontanili - via Gozzoli/via Parri </t>
  </si>
  <si>
    <t>via Bari 18</t>
  </si>
  <si>
    <t>via Soderini 41/2</t>
  </si>
  <si>
    <t>via Parenzo 2/1</t>
  </si>
  <si>
    <t>ex casetta custode all'interno dell'ICS G. Capponi - via Tosi 21</t>
  </si>
  <si>
    <t>Centro Polifunzionale "Angelo Valdameri" TRE CASTELLI, via Martinelli n. 53 - Milano</t>
  </si>
  <si>
    <t>CENTRO "IPR" (Istituto Pedagogico  della Resistenza)
Via degli Anemoni n. 6 - Milano</t>
  </si>
  <si>
    <t xml:space="preserve">scomputo per iniziative realizzate </t>
  </si>
  <si>
    <t>Casetta Odazio - via Odazio 7 - Milano</t>
  </si>
  <si>
    <t>Edicola Radetzky - Darsena, viale Gorizia - foglio 474/mapp.352 parte-</t>
  </si>
  <si>
    <t>gratuita</t>
  </si>
  <si>
    <t>Spazio Ex Deposito della Biblioteca di via S. Paolino 18- p. terra</t>
  </si>
  <si>
    <t xml:space="preserve"> Spazio Alda Merini
via Magolfa 32 (foglio 437- mapp.629, 660 e 628)</t>
  </si>
  <si>
    <t>3 strutture all'interno dell'area a verde attrezzata di via Tobagi 4</t>
  </si>
  <si>
    <t>via Faenza 29</t>
  </si>
  <si>
    <t>Alzaia Naviglio Pavese 16 - 1° piano</t>
  </si>
  <si>
    <t>Subcomodato alloggio via Bianca Ceva, 20</t>
  </si>
  <si>
    <t>comodato d'uso gratuito</t>
  </si>
  <si>
    <t>Municipio 6</t>
  </si>
  <si>
    <t>Dr. Andrea Zelioli</t>
  </si>
  <si>
    <t>Milano, 17 marzo 2026</t>
  </si>
  <si>
    <t xml:space="preserve">MUNICIPIO 7 </t>
  </si>
  <si>
    <t>Via Lamennais 20 palestra</t>
  </si>
  <si>
    <t>Via Constant 19 - palestra</t>
  </si>
  <si>
    <t>Via Airaghi 42 - palestra</t>
  </si>
  <si>
    <t>Via San Giusto 65 - palestra</t>
  </si>
  <si>
    <t>Via San Giusto 65 - Aula Tatami</t>
  </si>
  <si>
    <t>Via Rasori 19 - palestra</t>
  </si>
  <si>
    <t>Via Rasori 19 - aule</t>
  </si>
  <si>
    <t>Via Rasori 19 - palestrina</t>
  </si>
  <si>
    <t>Via Mauri 10 - palestra</t>
  </si>
  <si>
    <t>Via Mauri 10 - aule</t>
  </si>
  <si>
    <t>Via Colonna 42 - aule</t>
  </si>
  <si>
    <t>Via Colonna 42 - palestra</t>
  </si>
  <si>
    <t>Via Colonna 42 - palestrina</t>
  </si>
  <si>
    <t>Piazza Sicilia 2 - aula</t>
  </si>
  <si>
    <t>Piazza Sicilia 2 - palestra Seprio</t>
  </si>
  <si>
    <t>Piazza Sicilia 2 - cortile Seprio</t>
  </si>
  <si>
    <t>Piazza Sicilia 2 - palestra Sacco/Sard</t>
  </si>
  <si>
    <t>Via Val D'Intelvi 11 - palestra</t>
  </si>
  <si>
    <t>Via Val D'Intelvi 11 - palestrina/teatro</t>
  </si>
  <si>
    <t>Via Milesi 4 - palestra</t>
  </si>
  <si>
    <t>Via Forze Armate 279 - palestra</t>
  </si>
  <si>
    <t>Via Forze Armate 279 - aula</t>
  </si>
  <si>
    <t>Via Valdagno 8 - palestra</t>
  </si>
  <si>
    <t>Via Valdagno 8 - aula</t>
  </si>
  <si>
    <t>Via Viterbo 31 - palestra</t>
  </si>
  <si>
    <t>Via Don Gnocchi 25 - palestra</t>
  </si>
  <si>
    <t>Piazza Axum 5 - palestra</t>
  </si>
  <si>
    <t>Piazza Axum 5 - aule</t>
  </si>
  <si>
    <t>Via Delle Betulle 17 - palestra</t>
  </si>
  <si>
    <t>Via Dei Salici 2 - palestra</t>
  </si>
  <si>
    <t>Via Loria 37 - aula</t>
  </si>
  <si>
    <t>Via Loria 37 - palestra grande</t>
  </si>
  <si>
    <t>Via Loria 37 - palestra piccola</t>
  </si>
  <si>
    <t>Via Forze Armate 65 - aula</t>
  </si>
  <si>
    <t>Via Forze Armate 65 - palestra</t>
  </si>
  <si>
    <t>Via Martinetti 25 - palestra grande</t>
  </si>
  <si>
    <t>Via Martinetti 25 - palestra piccola</t>
  </si>
  <si>
    <t>Via Crimea 22 - palestra</t>
  </si>
  <si>
    <t>Via Montebaldo - palestra</t>
  </si>
  <si>
    <t>Via Montebaldo - aule</t>
  </si>
  <si>
    <t>Via C. Dolci 5 - palestra</t>
  </si>
  <si>
    <t>Sala degli Olivetani 
Via A. Da Baggio 55</t>
  </si>
  <si>
    <t>Parco delle Cave</t>
  </si>
  <si>
    <t>effettuati conguagli su canoni anni precedenti - adeguamento ISTAT+ anno 2026</t>
  </si>
  <si>
    <t>Via Mosca</t>
  </si>
  <si>
    <t>effettuati conguagli su canoni anni precedenti - TOLTI 14 ORTI DA 100MQ CAD.</t>
  </si>
  <si>
    <t>via Don Gervasini</t>
  </si>
  <si>
    <t>effettuati conguagli su canoni anni precedenti - adeguamento ISTAT</t>
  </si>
  <si>
    <t>Parco della Cava di Muggiano</t>
  </si>
  <si>
    <t>via Viterbo-Bentivoglio</t>
  </si>
  <si>
    <t>via Castrovillari 14</t>
  </si>
  <si>
    <t>via Viterbo 4</t>
  </si>
  <si>
    <t>Cascina Linterno
via F.lli Zoia 194</t>
  </si>
  <si>
    <t>Municipio 7</t>
  </si>
  <si>
    <t xml:space="preserve">Dr.ssa  Amore F. A. Scilla </t>
  </si>
  <si>
    <t>DIREZIONE SERVIZI CIVICI E  MUNICIPI</t>
  </si>
  <si>
    <t xml:space="preserve"> MUNICIPIO 8</t>
  </si>
  <si>
    <t>PISCINA Scuola primaria via C. da Castello, 10</t>
  </si>
  <si>
    <t>PALESTRA Scuola primaria via Cilea, 12</t>
  </si>
  <si>
    <t>PALESTRA Via Cittadini, 9</t>
  </si>
  <si>
    <t>AULA via Console Marcello, 9</t>
  </si>
  <si>
    <t>PALESTRA Scuola primaria via Delle Ande, 4</t>
  </si>
  <si>
    <t>PALESTRA Scuola primaria via Gattamelata, 35</t>
  </si>
  <si>
    <t>AULE Scuola primaria via Gattamelata, 35</t>
  </si>
  <si>
    <t>PALESTRA Scuola primaria via Graf, 70</t>
  </si>
  <si>
    <t>PALESTRINA Scuola primaria via Graf, 70</t>
  </si>
  <si>
    <t>ATRIO Scuola primaria via Graf, 70</t>
  </si>
  <si>
    <t>PALESTRA Scuola primaria via Mac Mahon, 100</t>
  </si>
  <si>
    <t>AULE Scuola primaria via Mac Mahon, 100</t>
  </si>
  <si>
    <t>AULE Scuola primaria via Mantegna, 10</t>
  </si>
  <si>
    <t>AULA Musica Scuola primaria via Mantegna, 10</t>
  </si>
  <si>
    <t>PALESTRA Scuola primaria via Mantegna, 10</t>
  </si>
  <si>
    <t>PALESTRA Scuola primaria via Moscati, 1</t>
  </si>
  <si>
    <t>AULA Scuola primaria via Moscati, 1</t>
  </si>
  <si>
    <t>PALESTRA grande via Pareto, 26</t>
  </si>
  <si>
    <t>PALESTRA piccola via Pareto, 26</t>
  </si>
  <si>
    <t>AUDITORIUM via Sapri, 50</t>
  </si>
  <si>
    <t>PALESTRA  via Gallarate, 15</t>
  </si>
  <si>
    <t>AULA via Pareto, 26</t>
  </si>
  <si>
    <t>PALESTRA S.M.Nascente</t>
  </si>
  <si>
    <t>AULA S.M.Nascente</t>
  </si>
  <si>
    <t>PALESTRA via Val Lagarina, 44</t>
  </si>
  <si>
    <t>PALESTRA Scuola primaria via Visconti, 16</t>
  </si>
  <si>
    <t>PALESTRA Scuola primaria via Viscontini, 7</t>
  </si>
  <si>
    <t>PALESTRA Scuola Sec. di 1° grado via Borsa, 26</t>
  </si>
  <si>
    <t>PALESTRINA Scuola Sec. di 1° grado via C. da Castello, 9</t>
  </si>
  <si>
    <t>PALESTRA Scuola Sec. di 1° grado via C. da Castello, 9</t>
  </si>
  <si>
    <t>AULA Scuola Sec. di 1° grado via C. da Castello, 9</t>
  </si>
  <si>
    <t>SPAZIO TEATRO Scuola Sec. di 1° grado via C. da Castello, 9</t>
  </si>
  <si>
    <t>PALESTRA Scuola Sec. di 1° grado via Graf, 74</t>
  </si>
  <si>
    <t>PALESTRA Scuola Sec. di 1° grado via Linneo, 2</t>
  </si>
  <si>
    <t>PALESTRA Scuola Sec. di 1° grado via Ojetti, 13</t>
  </si>
  <si>
    <t>PALESTRA Scuola Sec. di 1° grado via P. Uccello, 1/A</t>
  </si>
  <si>
    <t>PALESTRA Scuola Sec. di 1° grado via Quarenghi, 14</t>
  </si>
  <si>
    <t>AULA ARTISTICA Scuola Sec. di 1° grado via Quarenghi, 14</t>
  </si>
  <si>
    <t>PALESTRA Scuola Primaria via Orsini, 25</t>
  </si>
  <si>
    <t>PALESTRA Scuola Primaria via Lovere, 4</t>
  </si>
  <si>
    <t>PALESTRE Scuola de Rossi, 2</t>
  </si>
  <si>
    <t>AULA Scuola de Rossi, 2</t>
  </si>
  <si>
    <t>Auditorium via Quarenghi, 21</t>
  </si>
  <si>
    <t>Atrio sala consiliare via Quarenghi, 21</t>
  </si>
  <si>
    <t>CDQ Lessona via Lessona, 20</t>
  </si>
  <si>
    <t>CDQ Lampugnano via Lampugnano, 145</t>
  </si>
  <si>
    <t>CDQ Pecetta via della Pecetta, 29</t>
  </si>
  <si>
    <t>CDQ Jacopino via J. Da Tradate, 9</t>
  </si>
  <si>
    <t>Fondazione Perini - via Aldini 72</t>
  </si>
  <si>
    <t>CGIL - Pagoda piazza Gramsci</t>
  </si>
  <si>
    <t>Fondazione Terre des Hommes Italia Onlus - via Appennini 50</t>
  </si>
  <si>
    <t>via Aldini</t>
  </si>
  <si>
    <t>Via Lampugnano</t>
  </si>
  <si>
    <t>La PO dell'Unità Coordinamento</t>
  </si>
  <si>
    <t>dott.ssa Paola POZZI</t>
  </si>
  <si>
    <t>Il documento è firmato digitalmente ai sensi del D. Lgs. 82/2005 s.m.i. e norme collegate e sostituisce il documento cartaceo e la firma autografa.</t>
  </si>
  <si>
    <t>Gratuita</t>
  </si>
  <si>
    <t>MUNICIPIO 9 - Via Guerzoni 38</t>
  </si>
  <si>
    <t>concessioni in uso di locali scolastici 
(per singolo plesso)</t>
  </si>
  <si>
    <t>AULA - I.C. ARBE ZARA
Scuola Primaria "Poerio" - Via Pianell n. 40</t>
  </si>
  <si>
    <t>PALESTRA - I.C. ARBE ZARA
 Scuola Primaria "Poerio" - Via Pianell n. 40</t>
  </si>
  <si>
    <t xml:space="preserve">PALESTRA - I.C. CESARE CANTÚ
Scuola Primaria "Hanna Frank" - Via Dora Baltea n. 16 </t>
  </si>
  <si>
    <t>PALESTRA - I.C. CESARE CANTÚ
Scuola Primaria - Via  Dei Braschi n. 12</t>
  </si>
  <si>
    <t>PALESTRA - I.C. CONFALONIERI
Scuola Primaria - Via dal Verme n. 10</t>
  </si>
  <si>
    <t>PALESTRA - I.C. CONFALONIERI
 Scuola Secondaria di 1° grado "Govone" - Via Pepe n. 40</t>
  </si>
  <si>
    <t>PALESTRA - I.C. CONFALONIERI                                                                                                                                                                                                                                                                                                                                      Scuola Primaria Lambruschini - Via Crespi 1</t>
  </si>
  <si>
    <t>PALESTRA - I.C. DON ORIONE
Scuola Secondaria di 1° grado "Leonardo da Vinci" - Via Sand  n. 32</t>
  </si>
  <si>
    <t>PALESTRA - I.C. DON ORIONE
 Scuola Primaria "Caracciolo" - Via Iseo n. 7</t>
  </si>
  <si>
    <t>AULA PSICOMOTRICITA' - I.C. DON ORIONE
Scuola Primaria "Caracciolo" - Via Iseo n. 7</t>
  </si>
  <si>
    <t xml:space="preserve">PALESTRA - I.C. DON ORIONE 
Scuola Primaria  "Don Orione" - Via Fabriano n. 4 </t>
  </si>
  <si>
    <t xml:space="preserve">PALESTRA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</si>
  <si>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AULA MAGNA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</si>
  <si>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PALESTRA - .C. LOCATELLI/QUASIMODO 
Scuola Secondaria di 1° grado "Tommaseo" - Via Veglia n. 80</t>
  </si>
  <si>
    <t>PALESTRA - I.C. LOCCHI
Scuola Primaria "Duca degli Abruzzi" - Via Cesari n. 38</t>
  </si>
  <si>
    <t xml:space="preserve"> AUDITORIUM TEATRO - I.C. LOCCHI 
Scuola Primaria "Duca degli Abruzzi" - Via Cesari n. 38</t>
  </si>
  <si>
    <t>PALESTRA - I.C. LOCCHI
 Scuola Primaria Via Passerini n.4</t>
  </si>
  <si>
    <t>PALESTRA - I.C. SANDRO PERTINI 
Scuola Secondaria "Falcone e Borsellino" -  Via T. Mann n. 8</t>
  </si>
  <si>
    <t>PALESTRA - I.C. SANDRO PERTINI 
Scuola Primaria "Pertini"   - Via T. Mann n. 8</t>
  </si>
  <si>
    <t>PALESTRA - I.C. SANDRO PERTINI
Scuola Primaria "Pirelli" - Via da Bussero n. 9</t>
  </si>
  <si>
    <t>PALESTRA - I.C. SANDRO PERTINI 
Scuola Secondaria "Verga" - Via Asturie n. 1</t>
  </si>
  <si>
    <t>PALESTRA - I.C. SCIALOIA 
Scuola Primaria "Calvino" - Via Scialoia, 19</t>
  </si>
  <si>
    <t xml:space="preserve"> PALESTRA - I.C. SCIALOIA 
Scuola Secondaria di 1° grado "Buonarroti" - Via Scialoia n. 21</t>
  </si>
  <si>
    <t>PALESTRA - I.C. SORELLE AGAZZI
Scuola Primaria "Rodari"  - Via Gabbro 6</t>
  </si>
  <si>
    <t>PALESTRA - I.C. SORELLE AGAZZI
Scuola Secondaria di 1° grado "GANDHI" Piazza Gasparri n. 6</t>
  </si>
  <si>
    <t>PALESTRA - I.C. SORELLE AGAZZI 
Scuola  Secondaria di I° "Rodari" - Via Gabbro 6/a</t>
  </si>
  <si>
    <t>AULA - I.C. SORELLE AGAZZI 
Scuola Secondaria di I grado "Rodari"- via Gabbro 6/a</t>
  </si>
  <si>
    <t>AULA - I.C. SORELLE AGAZZI 
Scuola Secondaria di I grado "Rodari" - via Gabbro 6/a</t>
  </si>
  <si>
    <t>AUDITORIUM "TERESA SARTI STRADA" - Viale Cà Granda n. 19</t>
  </si>
  <si>
    <t>Cassina Anna  
Via Sant'Arnaldo n. 17</t>
  </si>
  <si>
    <t>Canone singola particella annuale € 44,00</t>
  </si>
  <si>
    <t>Via Cosenz</t>
  </si>
  <si>
    <t>Canone singola particella annuale € 52,00</t>
  </si>
  <si>
    <t>Via Cascina dei Prati</t>
  </si>
  <si>
    <t>Canone  singola particella annuale € 70,00</t>
  </si>
  <si>
    <t>Municipio 9</t>
  </si>
  <si>
    <t>Dr.ssa  Giuseppina Pedata</t>
  </si>
  <si>
    <t>Milano, 9 marzo 2026</t>
  </si>
  <si>
    <t>MUNICIPIO 2</t>
  </si>
  <si>
    <t>PALESTRA GRANDE VIA PONTANO, 43 – C.P.I.A. 5</t>
  </si>
  <si>
    <t>PALESTRA VIA FARA, 32 – I.C. GALVANI</t>
  </si>
  <si>
    <t>PALESTRA VIA GALVANI, 7 – I.C. GALVANI</t>
  </si>
  <si>
    <t>AULA VIA GIACOSA, 46 – I.C. CAPPELLI</t>
  </si>
  <si>
    <t>PADIGLIONE BONGIOVANNI VIA GIACOSA, 46 – I.C. CAPPELLI</t>
  </si>
  <si>
    <t>PADIGLIONE GABELLI VIA GIACOSA, 46 – I.C. CAPPELLI</t>
  </si>
  <si>
    <t>PADIGLIONE GRIOLI VIA GIACOSA, 46 – I.C. CAPPELLI</t>
  </si>
  <si>
    <t>PADIGLIONE TOMMASEO VIA GIACOSA, 46 – I.C. CAPPELLI</t>
  </si>
  <si>
    <t>PADIGLIONE ZADRA VIA GIACOSA, 46 – I.C. CAPPELLI</t>
  </si>
  <si>
    <t>PALESTRA SOLARIUM VIA GIACOSA, 46 – I.C. CAPPELLI</t>
  </si>
  <si>
    <t>AULA VIA RUSSO, 23 – I.C. CAPPELLI</t>
  </si>
  <si>
    <t>PALESTRA VIA RUSSO, 23 – I.C. CAPPELLI</t>
  </si>
  <si>
    <t>AULA VIALE ZARA, 96 – I.C. ARBE-ZARA</t>
  </si>
  <si>
    <t>CORTILE VIALE ZARA, 96 – I.C. ARBE-ZARA</t>
  </si>
  <si>
    <t>PALESTRA VIALE ZARA, 96 – I.C. ARBE-ZARA</t>
  </si>
  <si>
    <t>AULA VIA CAGLIERO, 20 – I.C. FRANCESCHI</t>
  </si>
  <si>
    <t>PALESTRA VIA CAGLIERO, 20 – I.C. FRANCESCHI</t>
  </si>
  <si>
    <t>ATRIO VIA MUZIO, 5 – I.C. FRANCESCHI</t>
  </si>
  <si>
    <t>AUDITORIUM VIA MUZIO, 5 – I.C. FRANCESCHI</t>
  </si>
  <si>
    <t>CORTILE VIA MUZIO, 5 – I.C. FRANCESCHI</t>
  </si>
  <si>
    <t>PALESTRA A VIA MUZIO, 5 – I.C. FRANCESCHI</t>
  </si>
  <si>
    <t>PALESTRA B VIA MUZIO, 5 – I.C. FRANCESCHI</t>
  </si>
  <si>
    <t>AULA 1 VIA FRIGIA, 4 - I.C. CALVINO</t>
  </si>
  <si>
    <t>AULA 2 VIA FRIGIA, 4 - I.C. CALVINO</t>
  </si>
  <si>
    <t>PALESTRA VIA FRIGIA, 4 – I.C. CALVINO</t>
  </si>
  <si>
    <t>ATRIO VIA MATTEI, 12 – I.C. CALVINO</t>
  </si>
  <si>
    <t>PALESTRA VIA MATTEI, 12 – I.C. CALVINO</t>
  </si>
  <si>
    <t>TEATRINO VIA MATTEI, 12 – I.C. CALVINO</t>
  </si>
  <si>
    <t>AULA TEATRO VIA SANT’UGUZZONE, 10 – I.C. CALVINO</t>
  </si>
  <si>
    <t>PALESTRA VIA SANT’UGUZZONE, 10 – I.C. CALVINO</t>
  </si>
  <si>
    <t>PALESTRA VIA ADRIANO, 60 – I.C. PERASSO</t>
  </si>
  <si>
    <t>AULA VIA BOTTEGO, 4 – I.C. PERASSO</t>
  </si>
  <si>
    <t>PALESTRA VIA BOTTEGO, 4 – I.C. PERASSO</t>
  </si>
  <si>
    <t>ATRIO VIA SAN MAMETE, 11 – I.C. PERASSO</t>
  </si>
  <si>
    <t>PALESTRA VIA SAN MAMETE, 11 – I.C. PERASSO</t>
  </si>
  <si>
    <t>PALESTRINA VIA SAN MAMETE, 11 – I.C. PERASSO</t>
  </si>
  <si>
    <t>PALESTRA VIA BOTTELLI, 1 – I.C. LOCATELLI-QUASIMODO</t>
  </si>
  <si>
    <t>PALESTRA VIA DELLA GIUSTIZIA, 6 – I.C. LOCATELLI-QUASIMODO</t>
  </si>
  <si>
    <t>PALESTRA VIA CESALPINO, 38 – I.C. PAOLO E LARISSA PINI</t>
  </si>
  <si>
    <t>PALESTRA VIA CESALPINO, 40 – I.C. PAOLO E LARISSA PINI</t>
  </si>
  <si>
    <t>PALESTRA VIA SANT’ERLEMBARDO, 4 – I.C. PAOLO E LARISSA PINI</t>
  </si>
  <si>
    <t>PALESTRA VIA STEFANARDO DA VIMERCATE, 14 – I.C. PAOLO E LARISSA PINI</t>
  </si>
  <si>
    <t>AULA VIA VENINI, 80 – I.C. GIORGI</t>
  </si>
  <si>
    <t>PALESTRA VIA VENINI, 80 – I.C. GIORGI</t>
  </si>
  <si>
    <t>AULA VIALE BRIANZA, 18 – I.C. GIORGI</t>
  </si>
  <si>
    <t>PALESTRA ALTA VIALE BRIANZA, 18 – I.C. GIORGI</t>
  </si>
  <si>
    <t>PALESTRA BASSA VIALE BRIANZA, 18 – I.C. GIORGI</t>
  </si>
  <si>
    <t>CASCINA TURRO</t>
  </si>
  <si>
    <t>SALA COMMISSIONI</t>
  </si>
  <si>
    <t>SALA ANFITEATRO MARTESANA</t>
  </si>
  <si>
    <t>CDQ PADOVA 118</t>
  </si>
  <si>
    <t>SALA SANT’UGUZZONE</t>
  </si>
  <si>
    <t xml:space="preserve">ORTI Via Nuoro e Via Alghero </t>
  </si>
  <si>
    <t>struttura monopiano ex edificio scolastico scuola materna/Via Sant'Uguzzone, 8 concessionario ATI casa dei Giochi</t>
  </si>
  <si>
    <t>Sono decurtati dal canone le spese inerenti agli interventi di recupero edilizio ed impiantistico del fabbricato</t>
  </si>
  <si>
    <t>Anfiteatro Martesana/concessionario ETC Ecologia Turismo e Cultura</t>
  </si>
  <si>
    <t>Bar all'interno del Parco Franca Rame concessionario Marco Ramunno</t>
  </si>
  <si>
    <t>Arretrati 4° trimestre 2025</t>
  </si>
  <si>
    <t>Alloggio custodia plesso scolastico via Frigia 4 - Associazione Sportiva Dilettantistica  San Gabriele Basket</t>
  </si>
  <si>
    <t>Municipio 2</t>
  </si>
  <si>
    <t>*Dr.ssa Loredana Bellanca</t>
  </si>
  <si>
    <t>Milano, 27 marzo 2026</t>
  </si>
  <si>
    <t xml:space="preserve">INTROITI PER CONCESSIONI DI LOCALI SCOLASTICI, SPAZI MULTIUSO, IMMOBILI E AREE - PERIODO: AGGIORNATO A FEBBRAIO  2026 - MUNICIPIO 1 </t>
  </si>
  <si>
    <t xml:space="preserve">MUNICIPIO 1 </t>
  </si>
  <si>
    <t>Istituto Comprensivo Diaz 
piazza C. Massaia, 2 - palestra 70%</t>
  </si>
  <si>
    <t>Tariffa palestre fino a 200 MQ - Associazioni sociali, culturali e sportive</t>
  </si>
  <si>
    <t>Istituto Comprensivo Diaz 
Via Crocefisso, 15 - palestra 70%</t>
  </si>
  <si>
    <t>Istituto Comprensivo Diaz 
Via Crocefisso, 15 - aula</t>
  </si>
  <si>
    <t>Istituto Comprensivo Diaz 
Via Sant'Orsola, 15 - aula</t>
  </si>
  <si>
    <t>Istituto Comprensivo Diaz 
Via Sant'Orsola, 15 - palestra 70%</t>
  </si>
  <si>
    <t>Istituto Comprensivo Cavalieri 
Via Ariberto, 14 - palestra 70%</t>
  </si>
  <si>
    <t>Istituto Comprensivo Cavalieri 
Via Ariberto, 14 - palestra</t>
  </si>
  <si>
    <t>Istituto Comprensivo Cavalieri 
Via Ariberto, 14 - aula 70%</t>
  </si>
  <si>
    <t>Tariffa aule e altri spazi fino a 200 MQ - Associazioni sociali, culturali e sportive</t>
  </si>
  <si>
    <t>Istituto Comprensivo Cavalieri 
Via Ariberto, 14 - aula</t>
  </si>
  <si>
    <t>Tariffa aule e altri spazi fino a 200 MQ - Altre associazioni e libera utenza</t>
  </si>
  <si>
    <t>Istituto Comprensivo Pascoli 
Via Ruffini, 4/6 - aula</t>
  </si>
  <si>
    <t>Istituto Comprensivo Pascoli 
Via Ruffini, 4/6 - palestra 70%</t>
  </si>
  <si>
    <t xml:space="preserve">Istituto Comprensivo Giusti - D'Assisi                                                                                                                                                   Via Giusti, 15 - palestra 70%  </t>
  </si>
  <si>
    <r>
      <t xml:space="preserve">Tariffa palestre tra </t>
    </r>
    <r>
      <rPr>
        <b/>
        <i/>
        <sz val="11"/>
        <color theme="1"/>
        <rFont val="Aptos Narrow"/>
        <family val="2"/>
        <scheme val="minor"/>
      </rPr>
      <t>200</t>
    </r>
    <r>
      <rPr>
        <i/>
        <sz val="11"/>
        <color theme="1"/>
        <rFont val="Aptos Narrow"/>
        <family val="2"/>
        <scheme val="minor"/>
      </rPr>
      <t xml:space="preserve"> e </t>
    </r>
    <r>
      <rPr>
        <b/>
        <i/>
        <sz val="11"/>
        <color theme="1"/>
        <rFont val="Aptos Narrow"/>
        <family val="2"/>
        <scheme val="minor"/>
      </rPr>
      <t>500 MQ</t>
    </r>
    <r>
      <rPr>
        <i/>
        <sz val="11"/>
        <color theme="1"/>
        <rFont val="Aptos Narrow"/>
        <family val="2"/>
        <scheme val="minor"/>
      </rPr>
      <t xml:space="preserve"> - Associazioni sociali, culturali e sportive</t>
    </r>
  </si>
  <si>
    <t>Istituto Comprensivo Giusti - D'Assisi                                                                                                                                                   Via Giusti, 15 - aula</t>
  </si>
  <si>
    <t xml:space="preserve">Istituto Comprensivo Giusti - D'Assisi                                                                                                                                                   Via Palermo, 7/9 - palestra 70%  </t>
  </si>
  <si>
    <t xml:space="preserve">Istituto Comprensivo Giusti - D'Assisi                                                                                                                                                   Via Palermo, 7/9 - aula 70%  </t>
  </si>
  <si>
    <t>Istituto Comprensivo Commenda 
Via della Commenda, 22/a - palestra 70%</t>
  </si>
  <si>
    <t>Istituto Comprensivo Commenda 
Via della Commenda, 22/a - aula 70%</t>
  </si>
  <si>
    <t>Istituto Comprensivo Commenda
Via Quadronno, 32 - aula 70%</t>
  </si>
  <si>
    <t>Istituto Comprensivo Commenda
Via Quadronno, 32 - palestra 70%</t>
  </si>
  <si>
    <t>Istituto Comprensivo Commenda 
c.SO DI Porta Romana, 112 - palestra 70%</t>
  </si>
  <si>
    <t xml:space="preserve">Istituto Comprensivo Cuoco - Sassi                                                                                                                                                                                    Via Corridoni, 34/36 - palestra 169 mq. </t>
  </si>
  <si>
    <t>Istituto Comprensivo Cuoco - Sassi                                                                                                                                                                                    Via Corridoni, 34/36 - palestra 169 mq 70%</t>
  </si>
  <si>
    <t>C.A.M. GABELLE
Via San Marco, 4</t>
  </si>
  <si>
    <t>Salone Atrio</t>
  </si>
  <si>
    <t xml:space="preserve">tariffa minima fino a 4 ore per Enti del Terzo Settore + € 0,99 per ogni ora in più </t>
  </si>
  <si>
    <t xml:space="preserve">tariffa corrente per altre associazioni e libera utenza fino a 4 ore + € 3,70 per ogni ora in più </t>
  </si>
  <si>
    <t>Sala Pianoforte</t>
  </si>
  <si>
    <t xml:space="preserve">tariffa minima fino a 4 ore per Enti del Terzo Settore + € 0,87 per ogni ora in più </t>
  </si>
  <si>
    <t xml:space="preserve">tariffa massima fino a 4 ore per altre associazioni e libera utenza + € 2,50 per ogni ora in più </t>
  </si>
  <si>
    <t>Giocoteca</t>
  </si>
  <si>
    <t>Palestra</t>
  </si>
  <si>
    <t xml:space="preserve">tariffa massima fino a 4 ore per altre associazioni e libera utenza + € 3,70 per ogni ora in più </t>
  </si>
  <si>
    <t>C.A.M. SCALDASOLE
Via Scaldadole 3/A</t>
  </si>
  <si>
    <t>Salone</t>
  </si>
  <si>
    <t>Saletta</t>
  </si>
  <si>
    <t>C.A.M. ROMANA/
VIGENTINA
Corso di Porta Vigentina 15/A</t>
  </si>
  <si>
    <t>Sala A</t>
  </si>
  <si>
    <t>Sala B</t>
  </si>
  <si>
    <t xml:space="preserve">tariffa minima fino a 4 ore per Enti del Terzo Settore + € 1,20 per ogni ora in più </t>
  </si>
  <si>
    <t xml:space="preserve">tariffa massima fino a 4 ore per altre associazioni e libera utenza + € 5,00 per ogni ora in più </t>
  </si>
  <si>
    <t>C.A.M. GARIBALDI
Corso Garibaldi, 27</t>
  </si>
  <si>
    <t>Ludoteca</t>
  </si>
  <si>
    <t>Salone Piano Terra</t>
  </si>
  <si>
    <t>Salone 2° piano</t>
  </si>
  <si>
    <t xml:space="preserve">tariffa massima fino a 4 ore per altre associazioni e libera utenza  + € 2,50 per ogni ora in più </t>
  </si>
  <si>
    <t>C.A.M. GARIBALDI                                                                    Corso Garibaldi, 27</t>
  </si>
  <si>
    <t xml:space="preserve">salette </t>
  </si>
  <si>
    <t xml:space="preserve">'tariffa massima fino a 4 ore per altre associazioni e libera utenza  + € 2,50 per ogni ora in più </t>
  </si>
  <si>
    <t>Note
(ragioni per cui il canone percepito è superiore o inferiore al canone annuo pattuito ed eventuali altre annotazioni)</t>
  </si>
  <si>
    <t xml:space="preserve"> ATS Casa degli Artisti - Via T. da Cazzaniga/ C.so Garibaldi</t>
  </si>
  <si>
    <t xml:space="preserve">Effettuata rivalutazione annuale ISTAT sul canone annuo pattuito </t>
  </si>
  <si>
    <t>Yoga Sangha - C.so Porta Romana 116/B</t>
  </si>
  <si>
    <t>Effettuata rivalutazione annuale ISTAT sul canone annuo pattuito - rata dicembre 2024 versata a gennaio 2025</t>
  </si>
  <si>
    <t>Cascina Nascosta - Viale Alemagna</t>
  </si>
  <si>
    <t>Effettuata rivalutazione annuale ISTAT sul canone annuo pattuito - nel totale dei canoni percepiti è compresa un'integrazione del canone prevista da addendum al contratto</t>
  </si>
  <si>
    <t>Fabbricato: Via Cazzaniga</t>
  </si>
  <si>
    <t>INTROITI PER CONCESSIONI DI LOCALI SCOLASTICI, SPAZI MULTIUSO, IMMOBILI E AREE - PERIODO: GENNAIO- FEBBRAIO 2026</t>
  </si>
  <si>
    <t>Milano, 1 aprile 2026</t>
  </si>
  <si>
    <t>Municipio 1</t>
  </si>
  <si>
    <t>*Dr. Giuseppe Donnici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</si>
</sst>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[$€-2]\ #,##0.00;\-[$€-2]\ #,##0.00"/>
    <numFmt numFmtId="165" formatCode="0;[Red]0"/>
    <numFmt numFmtId="166" formatCode="&quot;€&quot;\ #,##0.00"/>
    <numFmt numFmtId="167" formatCode="[$€-2]\ #,##0.00"/>
    <numFmt numFmtId="168" formatCode="_-* #,##0.00\ [$€-410]_-;\-* #,##0.00\ [$€-410]_-;_-* \-??\ [$€-410]_-;_-@_-"/>
    <numFmt numFmtId="169" formatCode="#,##0_ ;\-#,##0\ "/>
    <numFmt numFmtId="170" formatCode="&quot;€ &quot;#,##0.00"/>
    <numFmt numFmtId="171" formatCode="[$€-410]\ #,##0.00;[Red]\-[$€-410]\ #,##0.00"/>
    <numFmt numFmtId="172" formatCode="#,##0.00&quot; €&quot;"/>
    <numFmt numFmtId="174" formatCode="#,##0;[Red]#,##0"/>
    <numFmt numFmtId="175" formatCode="_-* #,##0.00\ [$€-410]_-;\-* #,##0.00\ [$€-410]_-;_-* &quot;-&quot;??\ [$€-410]_-;_-@_-"/>
    <numFmt numFmtId="177" formatCode="#,##0.00\ &quot;€&quot;"/>
    <numFmt numFmtId="179" formatCode="[$€-2]\ #,##0.00;[Red][$€-2]\ #,##0.00"/>
  </numFmts>
  <fonts count="58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i/>
      <sz val="12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theme="1"/>
      <name val="Aptos Narrow"/>
      <family val="2"/>
      <charset val="1"/>
      <scheme val="minor"/>
    </font>
    <font>
      <b/>
      <sz val="14"/>
      <name val="Calibri"/>
      <family val="2"/>
    </font>
    <font>
      <b/>
      <sz val="13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Frutige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6"/>
      <color rgb="FF000000"/>
      <name val="Frutiger"/>
      <charset val="1"/>
    </font>
    <font>
      <b/>
      <sz val="11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6"/>
      <color rgb="FF000000"/>
      <name val="Frutiger"/>
    </font>
    <font>
      <sz val="9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7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AE7F6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9CDE5"/>
        <bgColor rgb="FFC0C0C0"/>
      </patternFill>
    </fill>
    <fill>
      <patternFill patternType="solid">
        <fgColor rgb="FFDAE7F6"/>
        <bgColor rgb="FFDCE6F2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</cellStyleXfs>
  <cellXfs count="37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0" xfId="0" applyFont="1"/>
    <xf numFmtId="44" fontId="0" fillId="0" borderId="0" xfId="0" applyNumberFormat="1"/>
    <xf numFmtId="0" fontId="13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8" fillId="3" borderId="0" xfId="0" applyFont="1" applyFill="1" applyAlignment="1">
      <alignment wrapText="1"/>
    </xf>
    <xf numFmtId="0" fontId="0" fillId="0" borderId="1" xfId="0" applyBorder="1" applyAlignment="1">
      <alignment vertical="center" wrapText="1"/>
    </xf>
    <xf numFmtId="166" fontId="0" fillId="0" borderId="1" xfId="0" applyNumberForma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2" fillId="0" borderId="1" xfId="0" applyFont="1" applyBorder="1" applyAlignment="1">
      <alignment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167" fontId="24" fillId="3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26" fillId="0" borderId="1" xfId="0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29" fillId="0" borderId="1" xfId="0" quotePrefix="1" applyFont="1" applyBorder="1" applyAlignment="1">
      <alignment vertical="center" wrapText="1"/>
    </xf>
    <xf numFmtId="167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167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7" fontId="19" fillId="0" borderId="1" xfId="0" quotePrefix="1" applyNumberFormat="1" applyFont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right" vertical="top"/>
    </xf>
    <xf numFmtId="1" fontId="0" fillId="0" borderId="1" xfId="0" applyNumberForma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1" fontId="35" fillId="0" borderId="7" xfId="3" applyNumberFormat="1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1" fontId="35" fillId="0" borderId="7" xfId="2" applyNumberFormat="1" applyFont="1" applyBorder="1" applyAlignment="1" applyProtection="1">
      <alignment horizontal="center" vertical="center" wrapText="1"/>
    </xf>
    <xf numFmtId="1" fontId="35" fillId="0" borderId="10" xfId="2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" fontId="35" fillId="0" borderId="12" xfId="2" applyNumberFormat="1" applyFont="1" applyBorder="1" applyAlignment="1" applyProtection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1" fontId="35" fillId="0" borderId="16" xfId="2" applyNumberFormat="1" applyFont="1" applyBorder="1" applyAlignment="1" applyProtection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1" fontId="35" fillId="0" borderId="2" xfId="2" applyNumberFormat="1" applyFont="1" applyBorder="1" applyAlignment="1" applyProtection="1">
      <alignment horizontal="center" vertical="center" wrapText="1"/>
    </xf>
    <xf numFmtId="1" fontId="9" fillId="0" borderId="1" xfId="2" applyNumberFormat="1" applyBorder="1" applyAlignment="1" applyProtection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1" fontId="9" fillId="0" borderId="2" xfId="2" applyNumberFormat="1" applyBorder="1" applyAlignment="1" applyProtection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1" fontId="35" fillId="0" borderId="3" xfId="2" applyNumberFormat="1" applyFont="1" applyBorder="1" applyAlignment="1" applyProtection="1">
      <alignment horizontal="center" vertical="center" wrapText="1"/>
    </xf>
    <xf numFmtId="1" fontId="35" fillId="0" borderId="1" xfId="2" applyNumberFormat="1" applyFont="1" applyBorder="1" applyAlignment="1" applyProtection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167" fontId="36" fillId="0" borderId="1" xfId="0" applyNumberFormat="1" applyFont="1" applyBorder="1" applyAlignment="1">
      <alignment horizontal="center" vertical="center"/>
    </xf>
    <xf numFmtId="3" fontId="36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67" fontId="39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wrapText="1"/>
    </xf>
    <xf numFmtId="0" fontId="36" fillId="0" borderId="1" xfId="0" applyFont="1" applyBorder="1" applyAlignment="1">
      <alignment vertical="center" wrapText="1"/>
    </xf>
    <xf numFmtId="170" fontId="0" fillId="0" borderId="1" xfId="0" applyNumberForma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0" fontId="4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170" fontId="0" fillId="0" borderId="3" xfId="0" applyNumberFormat="1" applyBorder="1" applyAlignment="1">
      <alignment horizontal="center" vertical="center" wrapText="1"/>
    </xf>
    <xf numFmtId="167" fontId="42" fillId="6" borderId="3" xfId="0" applyNumberFormat="1" applyFont="1" applyFill="1" applyBorder="1" applyAlignment="1">
      <alignment horizontal="center" vertical="center" wrapText="1"/>
    </xf>
    <xf numFmtId="167" fontId="35" fillId="6" borderId="3" xfId="3" applyNumberFormat="1" applyFont="1" applyFill="1" applyBorder="1" applyAlignment="1">
      <alignment horizontal="center" vertical="center" wrapText="1"/>
    </xf>
    <xf numFmtId="1" fontId="35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167" fontId="42" fillId="6" borderId="1" xfId="0" applyNumberFormat="1" applyFont="1" applyFill="1" applyBorder="1" applyAlignment="1">
      <alignment horizontal="center" vertical="center" wrapText="1"/>
    </xf>
    <xf numFmtId="167" fontId="35" fillId="6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0" fontId="0" fillId="6" borderId="1" xfId="0" applyNumberFormat="1" applyFill="1" applyBorder="1" applyAlignment="1">
      <alignment horizontal="center" vertical="center" wrapText="1"/>
    </xf>
    <xf numFmtId="167" fontId="35" fillId="0" borderId="7" xfId="3" applyNumberFormat="1" applyFont="1" applyBorder="1" applyAlignment="1">
      <alignment horizontal="center" vertical="center" wrapText="1"/>
    </xf>
    <xf numFmtId="167" fontId="35" fillId="0" borderId="7" xfId="2" applyNumberFormat="1" applyFont="1" applyBorder="1" applyAlignment="1" applyProtection="1">
      <alignment horizontal="center" vertical="center" wrapText="1"/>
    </xf>
    <xf numFmtId="167" fontId="35" fillId="0" borderId="10" xfId="2" applyNumberFormat="1" applyFont="1" applyBorder="1" applyAlignment="1" applyProtection="1">
      <alignment horizontal="center" vertical="center" wrapText="1"/>
    </xf>
    <xf numFmtId="167" fontId="35" fillId="0" borderId="10" xfId="3" applyNumberFormat="1" applyFont="1" applyBorder="1" applyAlignment="1">
      <alignment horizontal="center" vertical="center" wrapText="1"/>
    </xf>
    <xf numFmtId="167" fontId="35" fillId="0" borderId="12" xfId="2" applyNumberFormat="1" applyFont="1" applyBorder="1" applyAlignment="1" applyProtection="1">
      <alignment horizontal="center" vertical="center" wrapText="1"/>
    </xf>
    <xf numFmtId="167" fontId="35" fillId="0" borderId="12" xfId="3" applyNumberFormat="1" applyFont="1" applyBorder="1" applyAlignment="1">
      <alignment horizontal="center" vertical="center" wrapText="1"/>
    </xf>
    <xf numFmtId="167" fontId="35" fillId="0" borderId="14" xfId="2" applyNumberFormat="1" applyFont="1" applyBorder="1" applyAlignment="1" applyProtection="1">
      <alignment horizontal="center" vertical="center" wrapText="1"/>
    </xf>
    <xf numFmtId="167" fontId="35" fillId="0" borderId="16" xfId="2" applyNumberFormat="1" applyFont="1" applyBorder="1" applyAlignment="1" applyProtection="1">
      <alignment horizontal="center" vertical="center" wrapText="1"/>
    </xf>
    <xf numFmtId="167" fontId="35" fillId="0" borderId="16" xfId="3" applyNumberFormat="1" applyFont="1" applyBorder="1" applyAlignment="1">
      <alignment horizontal="center" vertical="center" wrapText="1"/>
    </xf>
    <xf numFmtId="167" fontId="35" fillId="0" borderId="3" xfId="2" applyNumberFormat="1" applyFont="1" applyBorder="1" applyAlignment="1" applyProtection="1">
      <alignment horizontal="center" vertical="center" wrapText="1"/>
    </xf>
    <xf numFmtId="167" fontId="35" fillId="0" borderId="2" xfId="3" applyNumberFormat="1" applyFont="1" applyBorder="1" applyAlignment="1">
      <alignment horizontal="center" vertical="center" wrapText="1"/>
    </xf>
    <xf numFmtId="167" fontId="35" fillId="0" borderId="1" xfId="3" applyNumberFormat="1" applyFont="1" applyBorder="1" applyAlignment="1">
      <alignment horizontal="center" vertical="center" wrapText="1"/>
    </xf>
    <xf numFmtId="167" fontId="35" fillId="0" borderId="2" xfId="2" applyNumberFormat="1" applyFont="1" applyBorder="1" applyAlignment="1" applyProtection="1">
      <alignment horizontal="center" vertical="center" wrapText="1"/>
    </xf>
    <xf numFmtId="167" fontId="35" fillId="0" borderId="3" xfId="3" applyNumberFormat="1" applyFont="1" applyBorder="1" applyAlignment="1">
      <alignment horizontal="center" vertical="center" wrapText="1"/>
    </xf>
    <xf numFmtId="167" fontId="35" fillId="0" borderId="1" xfId="2" applyNumberFormat="1" applyFont="1" applyBorder="1" applyAlignment="1" applyProtection="1">
      <alignment horizontal="center" vertical="center" wrapText="1"/>
    </xf>
    <xf numFmtId="167" fontId="33" fillId="0" borderId="1" xfId="0" applyNumberFormat="1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167" fontId="43" fillId="0" borderId="1" xfId="0" applyNumberFormat="1" applyFont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vertical="center" wrapText="1"/>
    </xf>
    <xf numFmtId="1" fontId="43" fillId="0" borderId="1" xfId="0" applyNumberFormat="1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/>
    </xf>
    <xf numFmtId="1" fontId="4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3" borderId="1" xfId="0" applyFill="1" applyBorder="1"/>
    <xf numFmtId="0" fontId="43" fillId="0" borderId="1" xfId="0" applyFont="1" applyBorder="1" applyAlignment="1">
      <alignment horizontal="left" vertical="center" wrapText="1"/>
    </xf>
    <xf numFmtId="0" fontId="46" fillId="3" borderId="1" xfId="0" applyFont="1" applyFill="1" applyBorder="1" applyAlignment="1">
      <alignment horizontal="left"/>
    </xf>
    <xf numFmtId="171" fontId="0" fillId="0" borderId="0" xfId="0" applyNumberFormat="1"/>
    <xf numFmtId="168" fontId="36" fillId="0" borderId="0" xfId="0" applyNumberFormat="1" applyFont="1"/>
    <xf numFmtId="0" fontId="43" fillId="0" borderId="1" xfId="0" applyFont="1" applyBorder="1" applyAlignment="1">
      <alignment horizontal="left" vertical="center"/>
    </xf>
    <xf numFmtId="1" fontId="44" fillId="3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" fontId="43" fillId="3" borderId="1" xfId="0" applyNumberFormat="1" applyFon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 wrapText="1"/>
    </xf>
    <xf numFmtId="167" fontId="39" fillId="3" borderId="1" xfId="0" applyNumberFormat="1" applyFont="1" applyFill="1" applyBorder="1" applyAlignment="1">
      <alignment horizontal="center" vertical="center" wrapText="1"/>
    </xf>
    <xf numFmtId="167" fontId="39" fillId="0" borderId="1" xfId="0" applyNumberFormat="1" applyFont="1" applyBorder="1" applyAlignment="1">
      <alignment horizontal="center" vertical="center" wrapText="1"/>
    </xf>
    <xf numFmtId="167" fontId="39" fillId="0" borderId="1" xfId="0" applyNumberFormat="1" applyFont="1" applyBorder="1" applyAlignment="1" applyProtection="1">
      <alignment horizontal="center" vertical="center" wrapText="1"/>
      <protection locked="0"/>
    </xf>
    <xf numFmtId="170" fontId="3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47" fillId="9" borderId="1" xfId="0" applyFont="1" applyFill="1" applyBorder="1" applyAlignment="1">
      <alignment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24" fillId="0" borderId="1" xfId="0" applyFont="1" applyBorder="1" applyAlignment="1">
      <alignment horizontal="left" vertical="center" wrapText="1"/>
    </xf>
    <xf numFmtId="165" fontId="47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48" fillId="0" borderId="1" xfId="0" quotePrefix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6" fontId="16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wrapText="1"/>
    </xf>
    <xf numFmtId="169" fontId="1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2" fontId="0" fillId="0" borderId="0" xfId="0" applyNumberFormat="1"/>
    <xf numFmtId="0" fontId="0" fillId="0" borderId="3" xfId="0" applyBorder="1" applyAlignment="1">
      <alignment horizontal="left" vertical="center" wrapText="1"/>
    </xf>
    <xf numFmtId="167" fontId="0" fillId="0" borderId="0" xfId="0" applyNumberForma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167" fontId="19" fillId="3" borderId="1" xfId="0" applyNumberFormat="1" applyFont="1" applyFill="1" applyBorder="1" applyAlignment="1">
      <alignment horizontal="center" vertical="center"/>
    </xf>
    <xf numFmtId="167" fontId="44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 vertical="center"/>
    </xf>
    <xf numFmtId="44" fontId="0" fillId="0" borderId="0" xfId="2" applyFont="1"/>
    <xf numFmtId="44" fontId="13" fillId="0" borderId="0" xfId="2" applyFont="1" applyAlignment="1">
      <alignment horizontal="center"/>
    </xf>
    <xf numFmtId="44" fontId="16" fillId="0" borderId="1" xfId="2" applyFont="1" applyBorder="1" applyAlignment="1">
      <alignment horizontal="center" vertical="center" wrapText="1"/>
    </xf>
    <xf numFmtId="175" fontId="16" fillId="0" borderId="1" xfId="0" applyNumberFormat="1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4" fontId="0" fillId="0" borderId="0" xfId="2" applyFont="1" applyAlignment="1">
      <alignment horizontal="center" vertical="center" wrapText="1"/>
    </xf>
    <xf numFmtId="167" fontId="0" fillId="0" borderId="1" xfId="2" applyNumberFormat="1" applyFont="1" applyBorder="1" applyAlignment="1">
      <alignment horizontal="center" vertical="center" wrapText="1"/>
    </xf>
    <xf numFmtId="167" fontId="11" fillId="0" borderId="1" xfId="2" applyNumberFormat="1" applyFont="1" applyBorder="1" applyAlignment="1">
      <alignment horizontal="center" vertical="center"/>
    </xf>
    <xf numFmtId="167" fontId="39" fillId="0" borderId="1" xfId="2" applyNumberFormat="1" applyFont="1" applyBorder="1" applyAlignment="1">
      <alignment horizontal="center" vertical="center" wrapText="1"/>
    </xf>
    <xf numFmtId="167" fontId="11" fillId="0" borderId="1" xfId="2" applyNumberFormat="1" applyFont="1" applyBorder="1" applyAlignment="1">
      <alignment horizontal="center" vertical="center" wrapText="1"/>
    </xf>
    <xf numFmtId="167" fontId="36" fillId="0" borderId="1" xfId="2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 wrapText="1"/>
    </xf>
    <xf numFmtId="3" fontId="36" fillId="0" borderId="1" xfId="2" applyNumberFormat="1" applyFont="1" applyBorder="1" applyAlignment="1">
      <alignment horizontal="center" vertical="center" wrapText="1"/>
    </xf>
    <xf numFmtId="0" fontId="50" fillId="0" borderId="27" xfId="0" applyFont="1" applyBorder="1"/>
    <xf numFmtId="0" fontId="50" fillId="0" borderId="1" xfId="0" applyFont="1" applyBorder="1"/>
    <xf numFmtId="0" fontId="50" fillId="0" borderId="28" xfId="0" applyFont="1" applyBorder="1"/>
    <xf numFmtId="0" fontId="50" fillId="0" borderId="30" xfId="0" applyFont="1" applyBorder="1"/>
    <xf numFmtId="0" fontId="50" fillId="0" borderId="31" xfId="0" applyFont="1" applyBorder="1"/>
    <xf numFmtId="0" fontId="50" fillId="0" borderId="32" xfId="0" applyFont="1" applyBorder="1"/>
    <xf numFmtId="0" fontId="50" fillId="0" borderId="35" xfId="0" applyFont="1" applyBorder="1"/>
    <xf numFmtId="0" fontId="0" fillId="3" borderId="0" xfId="0" applyFill="1"/>
    <xf numFmtId="0" fontId="50" fillId="0" borderId="9" xfId="0" applyFont="1" applyBorder="1"/>
    <xf numFmtId="0" fontId="22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52" fillId="0" borderId="1" xfId="0" quotePrefix="1" applyFont="1" applyBorder="1" applyAlignment="1">
      <alignment vertical="center" wrapText="1"/>
    </xf>
    <xf numFmtId="0" fontId="19" fillId="3" borderId="1" xfId="0" quotePrefix="1" applyFont="1" applyFill="1" applyBorder="1" applyAlignment="1">
      <alignment vertical="center" wrapText="1"/>
    </xf>
    <xf numFmtId="1" fontId="0" fillId="0" borderId="3" xfId="0" applyNumberFormat="1" applyBorder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22" fillId="3" borderId="1" xfId="0" applyFont="1" applyFill="1" applyBorder="1" applyAlignment="1">
      <alignment vertical="center" wrapText="1"/>
    </xf>
    <xf numFmtId="166" fontId="26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" fontId="21" fillId="3" borderId="1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 wrapText="1"/>
    </xf>
    <xf numFmtId="167" fontId="0" fillId="3" borderId="4" xfId="0" applyNumberFormat="1" applyFill="1" applyBorder="1" applyAlignment="1">
      <alignment horizontal="center" vertical="center"/>
    </xf>
    <xf numFmtId="167" fontId="0" fillId="3" borderId="3" xfId="0" applyNumberFormat="1" applyFill="1" applyBorder="1" applyAlignment="1">
      <alignment horizontal="center" vertical="center"/>
    </xf>
    <xf numFmtId="167" fontId="19" fillId="3" borderId="4" xfId="0" quotePrefix="1" applyNumberFormat="1" applyFont="1" applyFill="1" applyBorder="1" applyAlignment="1">
      <alignment horizontal="center" vertical="center" wrapText="1"/>
    </xf>
    <xf numFmtId="167" fontId="19" fillId="3" borderId="1" xfId="0" quotePrefix="1" applyNumberFormat="1" applyFont="1" applyFill="1" applyBorder="1" applyAlignment="1">
      <alignment horizontal="center" vertical="center" wrapText="1"/>
    </xf>
    <xf numFmtId="167" fontId="19" fillId="3" borderId="2" xfId="0" quotePrefix="1" applyNumberFormat="1" applyFont="1" applyFill="1" applyBorder="1" applyAlignment="1">
      <alignment horizontal="center" vertical="center" wrapText="1"/>
    </xf>
    <xf numFmtId="167" fontId="19" fillId="3" borderId="3" xfId="0" quotePrefix="1" applyNumberFormat="1" applyFont="1" applyFill="1" applyBorder="1" applyAlignment="1">
      <alignment horizontal="center" vertical="center" wrapText="1"/>
    </xf>
    <xf numFmtId="167" fontId="0" fillId="3" borderId="12" xfId="0" applyNumberFormat="1" applyFill="1" applyBorder="1" applyAlignment="1">
      <alignment horizontal="center" vertical="center"/>
    </xf>
    <xf numFmtId="167" fontId="19" fillId="3" borderId="16" xfId="0" quotePrefix="1" applyNumberFormat="1" applyFont="1" applyFill="1" applyBorder="1" applyAlignment="1">
      <alignment horizontal="center" vertical="center" wrapText="1"/>
    </xf>
    <xf numFmtId="167" fontId="0" fillId="3" borderId="16" xfId="0" applyNumberFormat="1" applyFill="1" applyBorder="1" applyAlignment="1">
      <alignment horizontal="center" vertical="center"/>
    </xf>
    <xf numFmtId="167" fontId="19" fillId="3" borderId="12" xfId="0" quotePrefix="1" applyNumberFormat="1" applyFont="1" applyFill="1" applyBorder="1" applyAlignment="1">
      <alignment horizontal="center" vertical="center" wrapText="1"/>
    </xf>
    <xf numFmtId="167" fontId="22" fillId="3" borderId="1" xfId="0" applyNumberFormat="1" applyFont="1" applyFill="1" applyBorder="1" applyAlignment="1">
      <alignment horizontal="center" vertical="center"/>
    </xf>
    <xf numFmtId="167" fontId="11" fillId="3" borderId="1" xfId="0" applyNumberFormat="1" applyFont="1" applyFill="1" applyBorder="1" applyAlignment="1">
      <alignment horizontal="center" vertical="center"/>
    </xf>
    <xf numFmtId="167" fontId="11" fillId="3" borderId="1" xfId="0" applyNumberFormat="1" applyFont="1" applyFill="1" applyBorder="1" applyAlignment="1">
      <alignment horizontal="center" vertical="center" wrapText="1"/>
    </xf>
    <xf numFmtId="167" fontId="22" fillId="3" borderId="1" xfId="0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1" fontId="24" fillId="0" borderId="12" xfId="0" applyNumberFormat="1" applyFont="1" applyBorder="1" applyAlignment="1">
      <alignment horizontal="center" vertical="center" wrapText="1"/>
    </xf>
    <xf numFmtId="1" fontId="24" fillId="0" borderId="16" xfId="0" applyNumberFormat="1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2" fillId="4" borderId="26" xfId="0" applyFont="1" applyFill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7" fontId="0" fillId="3" borderId="4" xfId="0" applyNumberFormat="1" applyFill="1" applyBorder="1" applyAlignment="1">
      <alignment horizontal="center" vertical="center"/>
    </xf>
    <xf numFmtId="167" fontId="0" fillId="3" borderId="3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7" fontId="0" fillId="3" borderId="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167" fontId="0" fillId="3" borderId="2" xfId="0" applyNumberFormat="1" applyFill="1" applyBorder="1" applyAlignment="1">
      <alignment horizontal="center" vertical="center"/>
    </xf>
    <xf numFmtId="167" fontId="0" fillId="3" borderId="12" xfId="0" applyNumberForma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horizontal="left"/>
      <protection locked="0"/>
    </xf>
    <xf numFmtId="0" fontId="43" fillId="0" borderId="1" xfId="0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24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3" fillId="0" borderId="0" xfId="0" applyFont="1"/>
    <xf numFmtId="0" fontId="13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7" fontId="0" fillId="0" borderId="0" xfId="0" applyNumberFormat="1"/>
    <xf numFmtId="166" fontId="0" fillId="0" borderId="0" xfId="0" applyNumberFormat="1"/>
    <xf numFmtId="0" fontId="11" fillId="0" borderId="25" xfId="0" applyFont="1" applyBorder="1" applyAlignment="1">
      <alignment horizontal="left" vertical="center" wrapText="1"/>
    </xf>
    <xf numFmtId="0" fontId="19" fillId="0" borderId="1" xfId="0" quotePrefix="1" applyFont="1" applyBorder="1" applyAlignment="1">
      <alignment vertical="center" wrapText="1"/>
    </xf>
    <xf numFmtId="177" fontId="0" fillId="0" borderId="0" xfId="0" applyNumberFormat="1" applyAlignment="1">
      <alignment wrapText="1"/>
    </xf>
    <xf numFmtId="166" fontId="11" fillId="0" borderId="1" xfId="0" applyNumberFormat="1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0" fontId="54" fillId="0" borderId="1" xfId="0" quotePrefix="1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/>
    </xf>
    <xf numFmtId="167" fontId="19" fillId="0" borderId="2" xfId="0" applyNumberFormat="1" applyFont="1" applyBorder="1" applyAlignment="1">
      <alignment horizontal="center" vertical="center" wrapText="1"/>
    </xf>
    <xf numFmtId="179" fontId="22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74" fontId="22" fillId="0" borderId="1" xfId="0" applyNumberFormat="1" applyFont="1" applyBorder="1" applyAlignment="1">
      <alignment horizontal="center" vertical="center" wrapText="1"/>
    </xf>
    <xf numFmtId="0" fontId="57" fillId="0" borderId="1" xfId="0" quotePrefix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66" fontId="22" fillId="0" borderId="0" xfId="0" applyNumberFormat="1" applyFont="1" applyBorder="1" applyAlignment="1">
      <alignment horizontal="center" vertical="center" wrapText="1"/>
    </xf>
    <xf numFmtId="167" fontId="22" fillId="3" borderId="0" xfId="0" applyNumberFormat="1" applyFont="1" applyFill="1" applyBorder="1" applyAlignment="1">
      <alignment horizontal="center" vertical="center" wrapText="1"/>
    </xf>
    <xf numFmtId="3" fontId="22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</cellXfs>
  <cellStyles count="4">
    <cellStyle name="Normale" xfId="0" builtinId="0"/>
    <cellStyle name="Normale 2" xfId="1" xr:uid="{879170E8-9CFE-43ED-8FD4-02EBB39FA646}"/>
    <cellStyle name="Normale 3" xfId="3" xr:uid="{E7DE8831-B02E-4D90-8AE9-086841CC38A6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AD008-1A15-4B9F-926F-F67628EAF113}">
  <dimension ref="A1:AT80"/>
  <sheetViews>
    <sheetView topLeftCell="A64" workbookViewId="0">
      <selection activeCell="D80" sqref="D80"/>
    </sheetView>
  </sheetViews>
  <sheetFormatPr defaultColWidth="9.109375" defaultRowHeight="14.4"/>
  <cols>
    <col min="1" max="1" width="3.44140625" customWidth="1"/>
    <col min="2" max="2" width="38.88671875" customWidth="1"/>
    <col min="3" max="3" width="49.33203125" customWidth="1"/>
    <col min="4" max="4" width="42.88671875" customWidth="1"/>
    <col min="5" max="5" width="15.88671875" customWidth="1"/>
    <col min="6" max="6" width="14.33203125" customWidth="1"/>
    <col min="7" max="7" width="15.33203125" customWidth="1"/>
    <col min="8" max="8" width="72" customWidth="1"/>
    <col min="9" max="9" width="18.109375" customWidth="1"/>
    <col min="10" max="10" width="14.5546875" customWidth="1"/>
    <col min="11" max="11" width="16.44140625" customWidth="1"/>
    <col min="12" max="12" width="13.109375" customWidth="1"/>
  </cols>
  <sheetData>
    <row r="1" spans="2:8" ht="30" customHeight="1">
      <c r="B1" s="9" t="s">
        <v>4</v>
      </c>
    </row>
    <row r="2" spans="2:8" ht="25.5" customHeight="1">
      <c r="B2" s="9" t="s">
        <v>5</v>
      </c>
      <c r="E2" s="11"/>
      <c r="F2" s="11"/>
    </row>
    <row r="3" spans="2:8" ht="12.75" customHeight="1">
      <c r="B3" s="9"/>
      <c r="E3" s="11"/>
      <c r="F3" s="11"/>
    </row>
    <row r="4" spans="2:8" ht="32.25" customHeight="1">
      <c r="B4" s="298" t="s">
        <v>495</v>
      </c>
      <c r="C4" s="298"/>
      <c r="D4" s="298"/>
      <c r="E4" s="298"/>
      <c r="F4" s="298"/>
      <c r="G4" s="298"/>
      <c r="H4" s="298"/>
    </row>
    <row r="5" spans="2:8" ht="31.5" customHeight="1">
      <c r="B5" s="298" t="s">
        <v>496</v>
      </c>
      <c r="C5" s="298"/>
      <c r="D5" s="298"/>
      <c r="E5" s="298"/>
      <c r="F5" s="298"/>
      <c r="G5" s="298"/>
      <c r="H5" s="298"/>
    </row>
    <row r="6" spans="2:8" ht="26.25" customHeight="1">
      <c r="B6" s="299" t="s">
        <v>8</v>
      </c>
      <c r="C6" s="299"/>
      <c r="D6" s="299"/>
      <c r="E6" s="299"/>
      <c r="F6" s="299"/>
      <c r="G6" s="299"/>
      <c r="H6" s="299"/>
    </row>
    <row r="7" spans="2:8" ht="73.5" customHeight="1">
      <c r="B7" s="12" t="s">
        <v>9</v>
      </c>
      <c r="C7" s="300" t="s">
        <v>10</v>
      </c>
      <c r="D7" s="301"/>
      <c r="E7" s="13" t="s">
        <v>11</v>
      </c>
      <c r="F7" s="13" t="s">
        <v>12</v>
      </c>
      <c r="G7" s="13" t="s">
        <v>2</v>
      </c>
      <c r="H7" s="14" t="s">
        <v>13</v>
      </c>
    </row>
    <row r="8" spans="2:8" ht="39" customHeight="1">
      <c r="B8" s="302"/>
      <c r="C8" s="284" t="s">
        <v>497</v>
      </c>
      <c r="D8" s="284"/>
      <c r="E8" s="250"/>
      <c r="F8" s="252">
        <v>2.73</v>
      </c>
      <c r="G8" s="264">
        <v>2</v>
      </c>
      <c r="H8" s="228" t="s">
        <v>498</v>
      </c>
    </row>
    <row r="9" spans="2:8" ht="39" customHeight="1">
      <c r="B9" s="303"/>
      <c r="C9" s="284" t="s">
        <v>499</v>
      </c>
      <c r="D9" s="284"/>
      <c r="E9" s="209"/>
      <c r="F9" s="253">
        <v>2.73</v>
      </c>
      <c r="G9" s="65">
        <v>4</v>
      </c>
      <c r="H9" s="229"/>
    </row>
    <row r="10" spans="2:8" ht="39" customHeight="1">
      <c r="B10" s="303"/>
      <c r="C10" s="284" t="s">
        <v>500</v>
      </c>
      <c r="D10" s="284"/>
      <c r="E10" s="209"/>
      <c r="F10" s="253">
        <v>1.87</v>
      </c>
      <c r="G10" s="65">
        <v>4</v>
      </c>
      <c r="H10" s="230"/>
    </row>
    <row r="11" spans="2:8" ht="39" customHeight="1">
      <c r="B11" s="303"/>
      <c r="C11" s="284" t="s">
        <v>501</v>
      </c>
      <c r="D11" s="284"/>
      <c r="E11" s="251">
        <v>108.25</v>
      </c>
      <c r="F11" s="254">
        <v>1.87</v>
      </c>
      <c r="G11" s="265">
        <v>4</v>
      </c>
      <c r="H11" s="230"/>
    </row>
    <row r="12" spans="2:8" ht="39" customHeight="1" thickBot="1">
      <c r="B12" s="303"/>
      <c r="C12" s="284" t="s">
        <v>502</v>
      </c>
      <c r="D12" s="284"/>
      <c r="E12" s="251">
        <v>204.42</v>
      </c>
      <c r="F12" s="253">
        <v>2.73</v>
      </c>
      <c r="G12" s="65">
        <v>5</v>
      </c>
      <c r="H12" s="230"/>
    </row>
    <row r="13" spans="2:8" ht="39" customHeight="1">
      <c r="B13" s="303"/>
      <c r="C13" s="294" t="s">
        <v>503</v>
      </c>
      <c r="D13" s="295"/>
      <c r="E13" s="296">
        <v>622.04999999999995</v>
      </c>
      <c r="F13" s="255">
        <v>2.73</v>
      </c>
      <c r="G13" s="266">
        <v>3</v>
      </c>
      <c r="H13" s="231" t="s">
        <v>498</v>
      </c>
    </row>
    <row r="14" spans="2:8" ht="39" customHeight="1">
      <c r="B14" s="303"/>
      <c r="C14" s="294" t="s">
        <v>504</v>
      </c>
      <c r="D14" s="295"/>
      <c r="E14" s="296"/>
      <c r="F14" s="255">
        <v>9.09</v>
      </c>
      <c r="G14" s="266">
        <v>1</v>
      </c>
      <c r="H14" s="232"/>
    </row>
    <row r="15" spans="2:8" ht="39" customHeight="1">
      <c r="B15" s="303"/>
      <c r="C15" s="289" t="s">
        <v>505</v>
      </c>
      <c r="D15" s="290"/>
      <c r="E15" s="296"/>
      <c r="F15" s="253">
        <v>1.87</v>
      </c>
      <c r="G15" s="266">
        <v>1</v>
      </c>
      <c r="H15" s="233" t="s">
        <v>506</v>
      </c>
    </row>
    <row r="16" spans="2:8" ht="39" customHeight="1" thickBot="1">
      <c r="B16" s="303"/>
      <c r="C16" s="292" t="s">
        <v>507</v>
      </c>
      <c r="D16" s="293"/>
      <c r="E16" s="297"/>
      <c r="F16" s="257">
        <v>6.24</v>
      </c>
      <c r="G16" s="267">
        <v>1</v>
      </c>
      <c r="H16" s="234" t="s">
        <v>508</v>
      </c>
    </row>
    <row r="17" spans="2:46" ht="39" customHeight="1">
      <c r="B17" s="303"/>
      <c r="C17" s="294" t="s">
        <v>509</v>
      </c>
      <c r="D17" s="295"/>
      <c r="E17" s="251">
        <v>237.04</v>
      </c>
      <c r="F17" s="255">
        <v>6.24</v>
      </c>
      <c r="G17" s="266">
        <v>5</v>
      </c>
      <c r="H17" s="232" t="s">
        <v>508</v>
      </c>
    </row>
    <row r="18" spans="2:46" ht="39" customHeight="1" thickBot="1">
      <c r="B18" s="303"/>
      <c r="C18" s="292" t="s">
        <v>510</v>
      </c>
      <c r="D18" s="293"/>
      <c r="E18" s="258"/>
      <c r="F18" s="257">
        <v>2.73</v>
      </c>
      <c r="G18" s="268">
        <v>3</v>
      </c>
      <c r="H18" s="234"/>
    </row>
    <row r="19" spans="2:46" ht="39" customHeight="1">
      <c r="B19" s="303"/>
      <c r="C19" s="294" t="s">
        <v>511</v>
      </c>
      <c r="D19" s="295"/>
      <c r="E19" s="251"/>
      <c r="F19" s="255">
        <v>4.7699999999999996</v>
      </c>
      <c r="G19" s="266">
        <v>2</v>
      </c>
      <c r="H19" s="232" t="s">
        <v>512</v>
      </c>
    </row>
    <row r="20" spans="2:46" ht="39" customHeight="1" thickBot="1">
      <c r="B20" s="303"/>
      <c r="C20" s="294" t="s">
        <v>513</v>
      </c>
      <c r="D20" s="295"/>
      <c r="E20" s="251"/>
      <c r="F20" s="257">
        <v>1.87</v>
      </c>
      <c r="G20" s="266">
        <v>3</v>
      </c>
      <c r="H20" s="232"/>
    </row>
    <row r="21" spans="2:46" ht="39" customHeight="1">
      <c r="B21" s="303"/>
      <c r="C21" s="289" t="s">
        <v>514</v>
      </c>
      <c r="D21" s="290"/>
      <c r="E21" s="209"/>
      <c r="F21" s="253">
        <v>2.73</v>
      </c>
      <c r="G21" s="46">
        <v>1</v>
      </c>
      <c r="H21" s="233"/>
    </row>
    <row r="22" spans="2:46" ht="39" customHeight="1" thickBot="1">
      <c r="B22" s="303"/>
      <c r="C22" s="292" t="s">
        <v>515</v>
      </c>
      <c r="D22" s="293"/>
      <c r="E22" s="258"/>
      <c r="F22" s="257">
        <v>1.87</v>
      </c>
      <c r="G22" s="268">
        <v>1</v>
      </c>
      <c r="H22" s="234"/>
    </row>
    <row r="23" spans="2:46" s="235" customFormat="1" ht="39" customHeight="1">
      <c r="B23" s="303"/>
      <c r="C23" s="294" t="s">
        <v>516</v>
      </c>
      <c r="D23" s="295"/>
      <c r="E23" s="251"/>
      <c r="F23" s="255">
        <v>2.73</v>
      </c>
      <c r="G23" s="265">
        <v>2</v>
      </c>
      <c r="H23" s="232" t="s">
        <v>498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2:46" s="235" customFormat="1" ht="39" customHeight="1">
      <c r="B24" s="303"/>
      <c r="C24" s="289" t="s">
        <v>517</v>
      </c>
      <c r="D24" s="290"/>
      <c r="E24" s="209"/>
      <c r="F24" s="253">
        <v>1.87</v>
      </c>
      <c r="G24" s="265">
        <v>1</v>
      </c>
      <c r="H24" s="233" t="s">
        <v>506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2:46" s="235" customFormat="1" ht="39" customHeight="1">
      <c r="B25" s="303"/>
      <c r="C25" s="284" t="s">
        <v>518</v>
      </c>
      <c r="D25" s="291"/>
      <c r="E25" s="209">
        <v>227.83</v>
      </c>
      <c r="F25" s="253">
        <v>1.87</v>
      </c>
      <c r="G25" s="265">
        <v>3</v>
      </c>
      <c r="H25" s="233" t="s">
        <v>506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2:46" s="235" customFormat="1" ht="39" customHeight="1">
      <c r="B26" s="303"/>
      <c r="C26" s="284" t="s">
        <v>519</v>
      </c>
      <c r="D26" s="291"/>
      <c r="E26" s="209"/>
      <c r="F26" s="253">
        <v>4.7699999999999996</v>
      </c>
      <c r="G26" s="65">
        <v>3</v>
      </c>
      <c r="H26" s="233" t="s">
        <v>512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2:46" s="235" customFormat="1" ht="39" customHeight="1" thickBot="1">
      <c r="B27" s="303"/>
      <c r="C27" s="292" t="s">
        <v>520</v>
      </c>
      <c r="D27" s="293"/>
      <c r="E27" s="256">
        <v>560.95000000000005</v>
      </c>
      <c r="F27" s="259">
        <v>4.7699999999999996</v>
      </c>
      <c r="G27" s="269">
        <v>1</v>
      </c>
      <c r="H27" s="236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2:46" s="235" customFormat="1" ht="39" customHeight="1">
      <c r="B28" s="282"/>
      <c r="C28" s="294" t="s">
        <v>521</v>
      </c>
      <c r="D28" s="295"/>
      <c r="E28" s="251">
        <v>435.44</v>
      </c>
      <c r="F28" s="255">
        <v>2.73</v>
      </c>
      <c r="G28" s="265">
        <v>1</v>
      </c>
      <c r="H28" s="232" t="s">
        <v>498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2:46" s="235" customFormat="1" ht="39" customHeight="1" thickBot="1">
      <c r="B29" s="282"/>
      <c r="C29" s="292" t="s">
        <v>522</v>
      </c>
      <c r="D29" s="293"/>
      <c r="E29" s="258">
        <v>185.94</v>
      </c>
      <c r="F29" s="257">
        <v>2.73</v>
      </c>
      <c r="G29" s="270">
        <v>6</v>
      </c>
      <c r="H29" s="234" t="s">
        <v>498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2:46" ht="30" customHeight="1">
      <c r="B30" s="237" t="s">
        <v>61</v>
      </c>
      <c r="C30" s="238"/>
      <c r="D30" s="238"/>
      <c r="E30" s="260">
        <f>SUM(E8:E29)</f>
        <v>2581.92</v>
      </c>
      <c r="F30" s="260">
        <f>SUM(F8:F29)</f>
        <v>73.539999999999978</v>
      </c>
      <c r="G30" s="271">
        <f>SUM(G8:G29)</f>
        <v>57</v>
      </c>
      <c r="H30" s="239"/>
    </row>
    <row r="31" spans="2:46" ht="28.5" customHeight="1">
      <c r="B31" s="281" t="s">
        <v>62</v>
      </c>
      <c r="C31" s="281" t="s">
        <v>523</v>
      </c>
      <c r="D31" s="284" t="s">
        <v>524</v>
      </c>
      <c r="E31" s="288"/>
      <c r="F31" s="170">
        <v>5</v>
      </c>
      <c r="G31" s="287"/>
      <c r="H31" s="240" t="s">
        <v>525</v>
      </c>
    </row>
    <row r="32" spans="2:46" ht="28.5" customHeight="1">
      <c r="B32" s="282"/>
      <c r="C32" s="282"/>
      <c r="D32" s="284"/>
      <c r="E32" s="288"/>
      <c r="F32" s="170">
        <v>25</v>
      </c>
      <c r="G32" s="287"/>
      <c r="H32" s="240" t="s">
        <v>526</v>
      </c>
      <c r="I32" s="15"/>
      <c r="J32" s="15"/>
      <c r="K32" s="15"/>
    </row>
    <row r="33" spans="2:11" ht="28.5" customHeight="1">
      <c r="B33" s="282"/>
      <c r="C33" s="282"/>
      <c r="D33" s="284" t="s">
        <v>527</v>
      </c>
      <c r="E33" s="288"/>
      <c r="F33" s="170">
        <v>3.7</v>
      </c>
      <c r="G33" s="287"/>
      <c r="H33" s="240" t="s">
        <v>528</v>
      </c>
      <c r="I33" s="15"/>
      <c r="J33" s="15"/>
      <c r="K33" s="15"/>
    </row>
    <row r="34" spans="2:11" ht="28.5" customHeight="1">
      <c r="B34" s="282"/>
      <c r="C34" s="282"/>
      <c r="D34" s="284"/>
      <c r="E34" s="288"/>
      <c r="F34" s="170">
        <v>18.5</v>
      </c>
      <c r="G34" s="287"/>
      <c r="H34" s="240" t="s">
        <v>529</v>
      </c>
      <c r="I34" s="15"/>
      <c r="J34" s="15"/>
      <c r="K34" s="15"/>
    </row>
    <row r="35" spans="2:11" ht="28.5" customHeight="1">
      <c r="B35" s="282"/>
      <c r="C35" s="282"/>
      <c r="D35" s="284" t="s">
        <v>530</v>
      </c>
      <c r="E35" s="288"/>
      <c r="F35" s="170">
        <v>3.7</v>
      </c>
      <c r="G35" s="287"/>
      <c r="H35" s="240" t="s">
        <v>528</v>
      </c>
      <c r="I35" s="15"/>
      <c r="J35" s="15"/>
      <c r="K35" s="15"/>
    </row>
    <row r="36" spans="2:11" ht="28.5" customHeight="1">
      <c r="B36" s="282"/>
      <c r="C36" s="282"/>
      <c r="D36" s="284"/>
      <c r="E36" s="288"/>
      <c r="F36" s="170">
        <v>18.5</v>
      </c>
      <c r="G36" s="287"/>
      <c r="H36" s="240" t="s">
        <v>529</v>
      </c>
      <c r="I36" s="15"/>
      <c r="J36" s="15"/>
      <c r="K36" s="15"/>
    </row>
    <row r="37" spans="2:11" ht="28.5" customHeight="1">
      <c r="B37" s="282"/>
      <c r="C37" s="282"/>
      <c r="D37" s="284" t="s">
        <v>531</v>
      </c>
      <c r="E37" s="288"/>
      <c r="F37" s="170">
        <v>5</v>
      </c>
      <c r="G37" s="287"/>
      <c r="H37" s="240" t="s">
        <v>525</v>
      </c>
      <c r="I37" s="15"/>
      <c r="J37" s="15"/>
      <c r="K37" s="15"/>
    </row>
    <row r="38" spans="2:11" ht="28.5" customHeight="1">
      <c r="B38" s="282"/>
      <c r="C38" s="283"/>
      <c r="D38" s="284"/>
      <c r="E38" s="288"/>
      <c r="F38" s="170">
        <v>25</v>
      </c>
      <c r="G38" s="287"/>
      <c r="H38" s="240" t="s">
        <v>532</v>
      </c>
      <c r="I38" s="15"/>
      <c r="J38" s="15"/>
      <c r="K38" s="15"/>
    </row>
    <row r="39" spans="2:11" ht="28.5" customHeight="1">
      <c r="B39" s="282"/>
      <c r="C39" s="281" t="s">
        <v>533</v>
      </c>
      <c r="D39" s="284" t="s">
        <v>534</v>
      </c>
      <c r="E39" s="285">
        <v>53.7</v>
      </c>
      <c r="F39" s="170">
        <v>5</v>
      </c>
      <c r="G39" s="272">
        <v>2</v>
      </c>
      <c r="H39" s="240" t="s">
        <v>525</v>
      </c>
      <c r="I39" s="15"/>
      <c r="J39" s="15"/>
      <c r="K39" s="15"/>
    </row>
    <row r="40" spans="2:11" ht="28.5" customHeight="1">
      <c r="B40" s="282"/>
      <c r="C40" s="282"/>
      <c r="D40" s="284"/>
      <c r="E40" s="286"/>
      <c r="F40" s="170">
        <v>4</v>
      </c>
      <c r="G40" s="273"/>
      <c r="H40" s="240" t="s">
        <v>532</v>
      </c>
      <c r="I40" s="15"/>
      <c r="J40" s="15"/>
      <c r="K40" s="15"/>
    </row>
    <row r="41" spans="2:11" ht="28.5" customHeight="1">
      <c r="B41" s="282"/>
      <c r="C41" s="282"/>
      <c r="D41" s="284" t="s">
        <v>535</v>
      </c>
      <c r="E41" s="285"/>
      <c r="F41" s="170">
        <v>3.7</v>
      </c>
      <c r="G41" s="272"/>
      <c r="H41" s="240" t="s">
        <v>528</v>
      </c>
      <c r="I41" s="15"/>
      <c r="J41" s="15"/>
      <c r="K41" s="15"/>
    </row>
    <row r="42" spans="2:11" ht="28.5" customHeight="1">
      <c r="B42" s="282"/>
      <c r="C42" s="283"/>
      <c r="D42" s="284"/>
      <c r="E42" s="286"/>
      <c r="F42" s="170">
        <v>18.5</v>
      </c>
      <c r="G42" s="273"/>
      <c r="H42" s="240" t="s">
        <v>529</v>
      </c>
      <c r="I42" s="15"/>
      <c r="J42" s="15"/>
      <c r="K42" s="15"/>
    </row>
    <row r="43" spans="2:11" ht="28.5" customHeight="1">
      <c r="B43" s="282"/>
      <c r="C43" s="281" t="s">
        <v>536</v>
      </c>
      <c r="D43" s="284" t="s">
        <v>537</v>
      </c>
      <c r="E43" s="285"/>
      <c r="F43" s="170">
        <v>3.7</v>
      </c>
      <c r="G43" s="272"/>
      <c r="H43" s="240" t="s">
        <v>528</v>
      </c>
      <c r="I43" s="15"/>
      <c r="J43" s="15"/>
      <c r="K43" s="15"/>
    </row>
    <row r="44" spans="2:11" ht="28.5" customHeight="1">
      <c r="B44" s="282"/>
      <c r="C44" s="282"/>
      <c r="D44" s="284"/>
      <c r="E44" s="286"/>
      <c r="F44" s="170">
        <v>18.5</v>
      </c>
      <c r="G44" s="273"/>
      <c r="H44" s="240" t="s">
        <v>529</v>
      </c>
      <c r="I44" s="15"/>
      <c r="J44" s="15"/>
      <c r="K44" s="15"/>
    </row>
    <row r="45" spans="2:11" ht="28.5" customHeight="1">
      <c r="B45" s="282"/>
      <c r="C45" s="282"/>
      <c r="D45" s="284" t="s">
        <v>538</v>
      </c>
      <c r="E45" s="285"/>
      <c r="F45" s="170">
        <v>3.7</v>
      </c>
      <c r="G45" s="272"/>
      <c r="H45" s="240" t="s">
        <v>528</v>
      </c>
      <c r="I45" s="15"/>
      <c r="J45" s="15"/>
      <c r="K45" s="15"/>
    </row>
    <row r="46" spans="2:11" ht="28.5" customHeight="1">
      <c r="B46" s="282"/>
      <c r="C46" s="282"/>
      <c r="D46" s="284"/>
      <c r="E46" s="286"/>
      <c r="F46" s="170">
        <v>18.5</v>
      </c>
      <c r="G46" s="273"/>
      <c r="H46" s="240" t="s">
        <v>529</v>
      </c>
      <c r="I46" s="15"/>
      <c r="J46" s="15"/>
      <c r="K46" s="15"/>
    </row>
    <row r="47" spans="2:11" ht="28.5" customHeight="1">
      <c r="B47" s="282"/>
      <c r="C47" s="282"/>
      <c r="D47" s="284" t="s">
        <v>534</v>
      </c>
      <c r="E47" s="285"/>
      <c r="F47" s="170">
        <v>6.2</v>
      </c>
      <c r="G47" s="272"/>
      <c r="H47" s="240" t="s">
        <v>539</v>
      </c>
      <c r="I47" s="15"/>
      <c r="J47" s="15"/>
      <c r="K47" s="15"/>
    </row>
    <row r="48" spans="2:11" ht="28.5" customHeight="1">
      <c r="B48" s="282"/>
      <c r="C48" s="283"/>
      <c r="D48" s="284"/>
      <c r="E48" s="286"/>
      <c r="F48" s="170">
        <v>37</v>
      </c>
      <c r="G48" s="273"/>
      <c r="H48" s="240" t="s">
        <v>540</v>
      </c>
      <c r="I48" s="15"/>
      <c r="J48" s="15"/>
      <c r="K48" s="15"/>
    </row>
    <row r="49" spans="1:11" ht="28.5" customHeight="1">
      <c r="B49" s="282"/>
      <c r="C49" s="281" t="s">
        <v>541</v>
      </c>
      <c r="D49" s="284" t="s">
        <v>542</v>
      </c>
      <c r="E49" s="285">
        <v>18.5</v>
      </c>
      <c r="F49" s="170">
        <v>3.7</v>
      </c>
      <c r="G49" s="272">
        <v>1</v>
      </c>
      <c r="H49" s="240" t="s">
        <v>528</v>
      </c>
      <c r="I49" s="15"/>
      <c r="J49" s="15"/>
      <c r="K49" s="15"/>
    </row>
    <row r="50" spans="1:11" ht="28.5" customHeight="1">
      <c r="B50" s="282"/>
      <c r="C50" s="282"/>
      <c r="D50" s="284"/>
      <c r="E50" s="286"/>
      <c r="F50" s="170">
        <v>18.5</v>
      </c>
      <c r="G50" s="273"/>
      <c r="H50" s="240" t="s">
        <v>529</v>
      </c>
      <c r="I50" s="15"/>
      <c r="J50" s="15"/>
      <c r="K50" s="15"/>
    </row>
    <row r="51" spans="1:11" ht="28.5" customHeight="1">
      <c r="B51" s="282"/>
      <c r="C51" s="282"/>
      <c r="D51" s="284" t="s">
        <v>543</v>
      </c>
      <c r="E51" s="285">
        <v>259</v>
      </c>
      <c r="F51" s="170">
        <v>6.2</v>
      </c>
      <c r="G51" s="272">
        <v>7</v>
      </c>
      <c r="H51" s="240" t="s">
        <v>539</v>
      </c>
      <c r="I51" s="15"/>
      <c r="J51" s="15"/>
      <c r="K51" s="15"/>
    </row>
    <row r="52" spans="1:11" ht="28.5" customHeight="1">
      <c r="B52" s="282"/>
      <c r="C52" s="282"/>
      <c r="D52" s="284"/>
      <c r="E52" s="286"/>
      <c r="F52" s="170">
        <v>37</v>
      </c>
      <c r="G52" s="273"/>
      <c r="H52" s="240" t="s">
        <v>540</v>
      </c>
      <c r="I52" s="15"/>
      <c r="J52" s="15"/>
      <c r="K52" s="15"/>
    </row>
    <row r="53" spans="1:11" ht="28.5" customHeight="1">
      <c r="B53" s="282"/>
      <c r="C53" s="282"/>
      <c r="D53" s="284" t="s">
        <v>544</v>
      </c>
      <c r="E53" s="285"/>
      <c r="F53" s="170">
        <v>3.7</v>
      </c>
      <c r="G53" s="272"/>
      <c r="H53" s="240" t="s">
        <v>528</v>
      </c>
      <c r="I53" s="15"/>
      <c r="J53" s="15"/>
      <c r="K53" s="15"/>
    </row>
    <row r="54" spans="1:11" ht="28.5" customHeight="1">
      <c r="B54" s="283"/>
      <c r="C54" s="283"/>
      <c r="D54" s="284"/>
      <c r="E54" s="286"/>
      <c r="F54" s="170">
        <v>18.5</v>
      </c>
      <c r="G54" s="273"/>
      <c r="H54" s="240" t="s">
        <v>545</v>
      </c>
      <c r="I54" s="15"/>
      <c r="J54" s="15"/>
      <c r="K54" s="15"/>
    </row>
    <row r="55" spans="1:11" ht="48" customHeight="1">
      <c r="B55" s="16"/>
      <c r="C55" s="16" t="s">
        <v>546</v>
      </c>
      <c r="D55" s="168" t="s">
        <v>547</v>
      </c>
      <c r="E55" s="251"/>
      <c r="F55" s="170">
        <v>3.7</v>
      </c>
      <c r="G55" s="241"/>
      <c r="H55" s="240" t="s">
        <v>548</v>
      </c>
      <c r="I55" s="15"/>
      <c r="J55" s="15"/>
      <c r="K55" s="15"/>
    </row>
    <row r="56" spans="1:11" ht="25.5" customHeight="1">
      <c r="B56" s="21" t="s">
        <v>61</v>
      </c>
      <c r="C56" s="21"/>
      <c r="D56" s="21"/>
      <c r="E56" s="261">
        <f>SUM(E31:E55)</f>
        <v>331.2</v>
      </c>
      <c r="F56" s="261">
        <f>SUM(F31:F55)</f>
        <v>314.49999999999994</v>
      </c>
      <c r="G56" s="242">
        <f>SUM(G31:G55)</f>
        <v>10</v>
      </c>
      <c r="H56" s="20"/>
      <c r="I56" s="15"/>
      <c r="J56" s="15"/>
      <c r="K56" s="15"/>
    </row>
    <row r="57" spans="1:11" ht="31.5" customHeight="1">
      <c r="B57" s="274" t="s">
        <v>66</v>
      </c>
      <c r="C57" s="275"/>
      <c r="D57" s="275"/>
      <c r="E57" s="275"/>
      <c r="F57" s="275"/>
      <c r="G57" s="275"/>
      <c r="H57" s="276"/>
    </row>
    <row r="58" spans="1:11" ht="53.25" customHeight="1">
      <c r="A58" s="8"/>
      <c r="B58" s="13" t="s">
        <v>9</v>
      </c>
      <c r="C58" s="13" t="s">
        <v>67</v>
      </c>
      <c r="D58" s="13"/>
      <c r="E58" s="13" t="s">
        <v>11</v>
      </c>
      <c r="F58" s="13" t="s">
        <v>68</v>
      </c>
      <c r="G58" s="13" t="s">
        <v>2</v>
      </c>
      <c r="H58" s="14" t="s">
        <v>549</v>
      </c>
    </row>
    <row r="59" spans="1:11" ht="28.8">
      <c r="B59" s="23" t="s">
        <v>70</v>
      </c>
      <c r="C59" s="24" t="s">
        <v>550</v>
      </c>
      <c r="D59" s="24"/>
      <c r="E59" s="170">
        <v>0</v>
      </c>
      <c r="F59" s="43">
        <v>64220.34</v>
      </c>
      <c r="G59" s="25">
        <v>1</v>
      </c>
      <c r="H59" s="157" t="s">
        <v>551</v>
      </c>
      <c r="I59" s="243"/>
    </row>
    <row r="60" spans="1:11" s="235" customFormat="1" ht="28.8">
      <c r="B60" s="244"/>
      <c r="C60" s="245" t="s">
        <v>552</v>
      </c>
      <c r="D60" s="245"/>
      <c r="E60" s="170">
        <v>0</v>
      </c>
      <c r="F60" s="170">
        <v>5903.94</v>
      </c>
      <c r="G60" s="246">
        <v>1</v>
      </c>
      <c r="H60" s="247" t="s">
        <v>553</v>
      </c>
    </row>
    <row r="61" spans="1:11" ht="28.8">
      <c r="B61" s="23"/>
      <c r="C61" s="24" t="s">
        <v>554</v>
      </c>
      <c r="D61" s="24"/>
      <c r="E61" s="170">
        <v>0</v>
      </c>
      <c r="F61" s="170">
        <v>17021.650000000001</v>
      </c>
      <c r="G61" s="248">
        <v>1</v>
      </c>
      <c r="H61" s="247" t="s">
        <v>555</v>
      </c>
    </row>
    <row r="62" spans="1:11">
      <c r="B62" s="23"/>
      <c r="C62" s="16" t="s">
        <v>556</v>
      </c>
      <c r="D62" s="24"/>
      <c r="E62" s="170">
        <v>0</v>
      </c>
      <c r="F62" s="170">
        <v>28124.400000000001</v>
      </c>
      <c r="G62" s="248">
        <v>1</v>
      </c>
      <c r="H62" s="247"/>
    </row>
    <row r="63" spans="1:11" ht="29.25" customHeight="1">
      <c r="B63" s="27" t="s">
        <v>61</v>
      </c>
      <c r="C63" s="28"/>
      <c r="D63" s="28"/>
      <c r="E63" s="262">
        <f>SUM(E59:E62)</f>
        <v>0</v>
      </c>
      <c r="F63" s="262">
        <f>SUM(F59:F61)</f>
        <v>87145.93</v>
      </c>
      <c r="G63" s="242">
        <v>3</v>
      </c>
      <c r="H63" s="157"/>
    </row>
    <row r="64" spans="1:11" ht="27" customHeight="1">
      <c r="B64" s="23" t="s">
        <v>79</v>
      </c>
      <c r="C64" s="28"/>
      <c r="D64" s="28"/>
      <c r="E64" s="45"/>
      <c r="F64" s="45"/>
      <c r="G64" s="29"/>
      <c r="H64" s="26"/>
    </row>
    <row r="65" spans="2:8" ht="16.5" customHeight="1">
      <c r="B65" s="27" t="s">
        <v>61</v>
      </c>
      <c r="C65" s="28"/>
      <c r="D65" s="28"/>
      <c r="E65" s="43"/>
      <c r="F65" s="45"/>
      <c r="G65" s="29"/>
      <c r="H65" s="26"/>
    </row>
    <row r="66" spans="2:8" ht="30.75" customHeight="1">
      <c r="B66" s="23" t="s">
        <v>82</v>
      </c>
      <c r="C66" s="30"/>
      <c r="D66" s="30"/>
      <c r="E66" s="43"/>
      <c r="F66" s="43"/>
      <c r="G66" s="25"/>
      <c r="H66" s="26"/>
    </row>
    <row r="67" spans="2:8" ht="30" customHeight="1">
      <c r="B67" s="27" t="s">
        <v>61</v>
      </c>
      <c r="C67" s="28"/>
      <c r="D67" s="28"/>
      <c r="E67" s="262"/>
      <c r="F67" s="262"/>
      <c r="G67" s="29"/>
      <c r="H67" s="26"/>
    </row>
    <row r="68" spans="2:8" ht="17.25" customHeight="1">
      <c r="B68" s="277"/>
      <c r="C68" s="278"/>
      <c r="D68" s="278"/>
      <c r="E68" s="278"/>
      <c r="F68" s="278"/>
      <c r="G68" s="278"/>
      <c r="H68" s="279"/>
    </row>
    <row r="69" spans="2:8" ht="42.75" customHeight="1">
      <c r="B69" s="21" t="s">
        <v>83</v>
      </c>
      <c r="C69" s="28"/>
      <c r="D69" s="28"/>
      <c r="E69" s="263">
        <f>SUM(E30+E56+E63+E65+E67)</f>
        <v>2913.12</v>
      </c>
      <c r="F69" s="263">
        <f>SUM(F30+F56+F63+F65+F67)</f>
        <v>87533.969999999987</v>
      </c>
      <c r="G69" s="249">
        <f>SUM(G30+G56+G63+G65+G67)</f>
        <v>70</v>
      </c>
      <c r="H69" s="26"/>
    </row>
    <row r="70" spans="2:8" ht="15.6" customHeight="1">
      <c r="B70" s="366"/>
      <c r="C70" s="367"/>
      <c r="D70" s="367"/>
      <c r="E70" s="368"/>
      <c r="F70" s="368"/>
      <c r="G70" s="369"/>
      <c r="H70" s="370"/>
    </row>
    <row r="71" spans="2:8">
      <c r="B71" s="34" t="s">
        <v>494</v>
      </c>
    </row>
    <row r="72" spans="2:8">
      <c r="B72" s="34"/>
    </row>
    <row r="73" spans="2:8">
      <c r="B73" s="34" t="s">
        <v>139</v>
      </c>
    </row>
    <row r="74" spans="2:8">
      <c r="B74" s="34" t="s">
        <v>559</v>
      </c>
    </row>
    <row r="75" spans="2:8">
      <c r="B75" s="34" t="s">
        <v>560</v>
      </c>
    </row>
    <row r="76" spans="2:8">
      <c r="B76" s="34"/>
    </row>
    <row r="77" spans="2:8">
      <c r="B77" t="s">
        <v>137</v>
      </c>
    </row>
    <row r="78" spans="2:8">
      <c r="B78" s="280"/>
      <c r="C78" s="280"/>
      <c r="D78" s="280"/>
      <c r="E78" s="280"/>
    </row>
    <row r="80" spans="2:8" ht="15.75" customHeight="1"/>
  </sheetData>
  <mergeCells count="72">
    <mergeCell ref="B4:H4"/>
    <mergeCell ref="B5:H5"/>
    <mergeCell ref="B6:H6"/>
    <mergeCell ref="C7:D7"/>
    <mergeCell ref="B8:B29"/>
    <mergeCell ref="C8:D8"/>
    <mergeCell ref="C9:D9"/>
    <mergeCell ref="C10:D10"/>
    <mergeCell ref="C11:D11"/>
    <mergeCell ref="C12:D12"/>
    <mergeCell ref="C23:D23"/>
    <mergeCell ref="C13:D13"/>
    <mergeCell ref="E13:E16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D35:D36"/>
    <mergeCell ref="E35:E36"/>
    <mergeCell ref="C24:D24"/>
    <mergeCell ref="C25:D25"/>
    <mergeCell ref="C26:D26"/>
    <mergeCell ref="C27:D27"/>
    <mergeCell ref="C28:D28"/>
    <mergeCell ref="C29:D29"/>
    <mergeCell ref="G35:G36"/>
    <mergeCell ref="D37:D38"/>
    <mergeCell ref="E37:E38"/>
    <mergeCell ref="G37:G38"/>
    <mergeCell ref="C39:C42"/>
    <mergeCell ref="D39:D40"/>
    <mergeCell ref="E39:E40"/>
    <mergeCell ref="G39:G40"/>
    <mergeCell ref="D41:D42"/>
    <mergeCell ref="E41:E42"/>
    <mergeCell ref="C31:C38"/>
    <mergeCell ref="D31:D32"/>
    <mergeCell ref="E31:E32"/>
    <mergeCell ref="G31:G32"/>
    <mergeCell ref="D33:D34"/>
    <mergeCell ref="E33:E34"/>
    <mergeCell ref="G41:G42"/>
    <mergeCell ref="C43:C48"/>
    <mergeCell ref="D43:D44"/>
    <mergeCell ref="E43:E44"/>
    <mergeCell ref="G43:G44"/>
    <mergeCell ref="D45:D46"/>
    <mergeCell ref="E45:E46"/>
    <mergeCell ref="G45:G46"/>
    <mergeCell ref="D47:D48"/>
    <mergeCell ref="E47:E48"/>
    <mergeCell ref="G53:G54"/>
    <mergeCell ref="B57:H57"/>
    <mergeCell ref="B68:H68"/>
    <mergeCell ref="B78:E78"/>
    <mergeCell ref="G47:G48"/>
    <mergeCell ref="C49:C54"/>
    <mergeCell ref="D49:D50"/>
    <mergeCell ref="E49:E50"/>
    <mergeCell ref="G49:G50"/>
    <mergeCell ref="D51:D52"/>
    <mergeCell ref="E51:E52"/>
    <mergeCell ref="G51:G52"/>
    <mergeCell ref="D53:D54"/>
    <mergeCell ref="E53:E54"/>
    <mergeCell ref="B31:B54"/>
    <mergeCell ref="G33:G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D536-1FA4-4186-94D9-62B35D991E00}">
  <dimension ref="A3:F5"/>
  <sheetViews>
    <sheetView tabSelected="1" topLeftCell="B1" workbookViewId="0">
      <selection activeCell="D4" sqref="D4"/>
    </sheetView>
  </sheetViews>
  <sheetFormatPr defaultColWidth="12.44140625" defaultRowHeight="14.4"/>
  <cols>
    <col min="1" max="1" width="75.44140625" customWidth="1"/>
    <col min="2" max="2" width="41.33203125" customWidth="1"/>
    <col min="3" max="3" width="40.21875" customWidth="1"/>
    <col min="4" max="4" width="62.33203125" customWidth="1"/>
    <col min="6" max="6" width="78.44140625" customWidth="1"/>
  </cols>
  <sheetData>
    <row r="3" spans="1:6" ht="31.2">
      <c r="B3" s="1" t="s">
        <v>0</v>
      </c>
      <c r="C3" s="2" t="s">
        <v>1</v>
      </c>
      <c r="D3" s="2" t="s">
        <v>2</v>
      </c>
    </row>
    <row r="4" spans="1:6" ht="36">
      <c r="A4" s="3" t="s">
        <v>3</v>
      </c>
      <c r="B4" s="4">
        <v>291296.96000000002</v>
      </c>
      <c r="C4" s="4">
        <v>329381.31</v>
      </c>
      <c r="D4" s="5">
        <v>1878</v>
      </c>
      <c r="E4" s="6"/>
      <c r="F4" s="7"/>
    </row>
    <row r="5" spans="1:6">
      <c r="D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B200-E4F1-4255-B23D-12FF489AF46F}">
  <dimension ref="A1:J94"/>
  <sheetViews>
    <sheetView topLeftCell="A77" workbookViewId="0">
      <selection activeCell="I4" sqref="I4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style="210" customWidth="1"/>
    <col min="5" max="5" width="24.88671875" style="210" customWidth="1"/>
    <col min="6" max="6" width="15.33203125" customWidth="1"/>
    <col min="7" max="7" width="34.44140625" customWidth="1"/>
  </cols>
  <sheetData>
    <row r="1" spans="2:7" ht="30" customHeight="1">
      <c r="B1" s="9" t="s">
        <v>4</v>
      </c>
    </row>
    <row r="2" spans="2:7" ht="25.5" customHeight="1">
      <c r="B2" s="9" t="s">
        <v>5</v>
      </c>
      <c r="D2" s="211"/>
      <c r="E2" s="211"/>
    </row>
    <row r="3" spans="2:7" ht="12.75" customHeight="1">
      <c r="B3" s="9"/>
      <c r="D3" s="211"/>
      <c r="E3" s="211"/>
    </row>
    <row r="4" spans="2:7" ht="32.25" customHeight="1">
      <c r="B4" s="298" t="s">
        <v>6</v>
      </c>
      <c r="C4" s="298"/>
      <c r="D4" s="298"/>
      <c r="E4" s="298"/>
      <c r="F4" s="298"/>
      <c r="G4" s="298"/>
    </row>
    <row r="5" spans="2:7" ht="31.5" customHeight="1">
      <c r="B5" s="298" t="s">
        <v>432</v>
      </c>
      <c r="C5" s="298"/>
      <c r="D5" s="298"/>
      <c r="E5" s="298"/>
      <c r="F5" s="298"/>
      <c r="G5" s="298"/>
    </row>
    <row r="6" spans="2:7" ht="26.25" customHeight="1">
      <c r="B6" s="299" t="s">
        <v>8</v>
      </c>
      <c r="C6" s="299"/>
      <c r="D6" s="299"/>
      <c r="E6" s="299"/>
      <c r="F6" s="299"/>
      <c r="G6" s="299"/>
    </row>
    <row r="7" spans="2:7" ht="55.5" customHeight="1">
      <c r="B7" s="12" t="s">
        <v>9</v>
      </c>
      <c r="C7" s="13" t="s">
        <v>10</v>
      </c>
      <c r="D7" s="212" t="s">
        <v>11</v>
      </c>
      <c r="E7" s="212" t="s">
        <v>12</v>
      </c>
      <c r="F7" s="13" t="s">
        <v>2</v>
      </c>
      <c r="G7" s="14" t="s">
        <v>13</v>
      </c>
    </row>
    <row r="8" spans="2:7" ht="55.5" customHeight="1">
      <c r="B8" s="281" t="s">
        <v>93</v>
      </c>
      <c r="C8" s="18" t="s">
        <v>433</v>
      </c>
      <c r="D8" s="217">
        <v>2825.07</v>
      </c>
      <c r="E8" s="219">
        <v>3.75</v>
      </c>
      <c r="F8" s="222">
        <v>5</v>
      </c>
      <c r="G8" s="14"/>
    </row>
    <row r="9" spans="2:7" ht="55.5" customHeight="1">
      <c r="B9" s="282"/>
      <c r="C9" s="18" t="s">
        <v>433</v>
      </c>
      <c r="D9" s="217">
        <v>0</v>
      </c>
      <c r="E9" s="219">
        <v>12.5</v>
      </c>
      <c r="F9" s="222">
        <v>1</v>
      </c>
      <c r="G9" s="14"/>
    </row>
    <row r="10" spans="2:7" ht="55.5" customHeight="1">
      <c r="B10" s="282"/>
      <c r="C10" s="18" t="s">
        <v>434</v>
      </c>
      <c r="D10" s="217">
        <v>118.13</v>
      </c>
      <c r="E10" s="219">
        <v>3.75</v>
      </c>
      <c r="F10" s="222">
        <v>2</v>
      </c>
      <c r="G10" s="14"/>
    </row>
    <row r="11" spans="2:7" ht="55.5" customHeight="1">
      <c r="B11" s="282"/>
      <c r="C11" s="18" t="s">
        <v>435</v>
      </c>
      <c r="D11" s="217">
        <v>223.13</v>
      </c>
      <c r="E11" s="219">
        <v>3.75</v>
      </c>
      <c r="F11" s="222">
        <v>1</v>
      </c>
      <c r="G11" s="14"/>
    </row>
    <row r="12" spans="2:7" ht="55.5" customHeight="1">
      <c r="B12" s="282"/>
      <c r="C12" s="18" t="s">
        <v>436</v>
      </c>
      <c r="D12" s="217">
        <v>0</v>
      </c>
      <c r="E12" s="219">
        <v>2.7</v>
      </c>
      <c r="F12" s="222">
        <v>0</v>
      </c>
      <c r="G12" s="37" t="s">
        <v>90</v>
      </c>
    </row>
    <row r="13" spans="2:7" ht="55.5" customHeight="1">
      <c r="B13" s="282"/>
      <c r="C13" s="18" t="s">
        <v>437</v>
      </c>
      <c r="D13" s="217">
        <v>0</v>
      </c>
      <c r="E13" s="219">
        <v>3.75</v>
      </c>
      <c r="F13" s="222">
        <v>1</v>
      </c>
      <c r="G13" s="14"/>
    </row>
    <row r="14" spans="2:7" ht="55.5" customHeight="1">
      <c r="B14" s="282"/>
      <c r="C14" s="18" t="s">
        <v>438</v>
      </c>
      <c r="D14" s="217">
        <v>0</v>
      </c>
      <c r="E14" s="219">
        <v>2.7</v>
      </c>
      <c r="F14" s="222">
        <v>1</v>
      </c>
      <c r="G14" s="14"/>
    </row>
    <row r="15" spans="2:7" ht="55.5" customHeight="1">
      <c r="B15" s="282"/>
      <c r="C15" s="18" t="s">
        <v>439</v>
      </c>
      <c r="D15" s="217">
        <v>0</v>
      </c>
      <c r="E15" s="219">
        <v>3.75</v>
      </c>
      <c r="F15" s="222">
        <v>0</v>
      </c>
      <c r="G15" s="37" t="s">
        <v>90</v>
      </c>
    </row>
    <row r="16" spans="2:7" ht="55.5" customHeight="1">
      <c r="B16" s="282"/>
      <c r="C16" s="18" t="s">
        <v>440</v>
      </c>
      <c r="D16" s="217">
        <v>0</v>
      </c>
      <c r="E16" s="219">
        <v>2.7</v>
      </c>
      <c r="F16" s="222">
        <v>1</v>
      </c>
      <c r="G16" s="14"/>
    </row>
    <row r="17" spans="2:7" ht="55.5" customHeight="1">
      <c r="B17" s="282"/>
      <c r="C17" s="18" t="s">
        <v>441</v>
      </c>
      <c r="D17" s="217">
        <v>0</v>
      </c>
      <c r="E17" s="219">
        <v>2.7</v>
      </c>
      <c r="F17" s="222">
        <v>0</v>
      </c>
      <c r="G17" s="37" t="s">
        <v>90</v>
      </c>
    </row>
    <row r="18" spans="2:7" ht="55.5" customHeight="1">
      <c r="B18" s="282"/>
      <c r="C18" s="18" t="s">
        <v>442</v>
      </c>
      <c r="D18" s="217">
        <v>4103.07</v>
      </c>
      <c r="E18" s="219">
        <v>3.75</v>
      </c>
      <c r="F18" s="222">
        <v>6</v>
      </c>
      <c r="G18" s="14"/>
    </row>
    <row r="19" spans="2:7" ht="55.5" customHeight="1">
      <c r="B19" s="282"/>
      <c r="C19" s="18" t="s">
        <v>443</v>
      </c>
      <c r="D19" s="217">
        <v>3333.96</v>
      </c>
      <c r="E19" s="219">
        <v>2.7</v>
      </c>
      <c r="F19" s="222">
        <v>1</v>
      </c>
      <c r="G19" s="14"/>
    </row>
    <row r="20" spans="2:7" ht="55.5" customHeight="1">
      <c r="B20" s="282"/>
      <c r="C20" s="18" t="s">
        <v>444</v>
      </c>
      <c r="D20" s="217">
        <v>869.27</v>
      </c>
      <c r="E20" s="219">
        <v>2.7</v>
      </c>
      <c r="F20" s="222">
        <v>7</v>
      </c>
      <c r="G20" s="14"/>
    </row>
    <row r="21" spans="2:7" ht="55.5" customHeight="1">
      <c r="B21" s="282"/>
      <c r="C21" s="18" t="s">
        <v>445</v>
      </c>
      <c r="D21" s="217">
        <v>0</v>
      </c>
      <c r="E21" s="219">
        <v>2.7</v>
      </c>
      <c r="F21" s="222">
        <v>0</v>
      </c>
      <c r="G21" s="37" t="s">
        <v>90</v>
      </c>
    </row>
    <row r="22" spans="2:7" ht="55.5" customHeight="1">
      <c r="B22" s="282"/>
      <c r="C22" s="18" t="s">
        <v>446</v>
      </c>
      <c r="D22" s="217">
        <v>0</v>
      </c>
      <c r="E22" s="219">
        <v>4.2</v>
      </c>
      <c r="F22" s="222">
        <v>0</v>
      </c>
      <c r="G22" s="37" t="s">
        <v>90</v>
      </c>
    </row>
    <row r="23" spans="2:7" ht="55.5" customHeight="1">
      <c r="B23" s="282"/>
      <c r="C23" s="18" t="s">
        <v>447</v>
      </c>
      <c r="D23" s="217">
        <v>2136.09</v>
      </c>
      <c r="E23" s="219">
        <v>3.75</v>
      </c>
      <c r="F23" s="222">
        <v>3</v>
      </c>
      <c r="G23" s="14"/>
    </row>
    <row r="24" spans="2:7" ht="55.5" customHeight="1">
      <c r="B24" s="282"/>
      <c r="C24" s="18" t="s">
        <v>448</v>
      </c>
      <c r="D24" s="217">
        <v>1088.6400000000001</v>
      </c>
      <c r="E24" s="219">
        <v>2.7</v>
      </c>
      <c r="F24" s="222">
        <v>1</v>
      </c>
      <c r="G24" s="14"/>
    </row>
    <row r="25" spans="2:7" ht="55.5" customHeight="1">
      <c r="B25" s="282"/>
      <c r="C25" s="18" t="s">
        <v>449</v>
      </c>
      <c r="D25" s="217">
        <v>5306.28</v>
      </c>
      <c r="E25" s="219">
        <v>4.2</v>
      </c>
      <c r="F25" s="222">
        <v>3</v>
      </c>
      <c r="G25" s="14"/>
    </row>
    <row r="26" spans="2:7" ht="55.5" customHeight="1">
      <c r="B26" s="282"/>
      <c r="C26" s="18" t="s">
        <v>450</v>
      </c>
      <c r="D26" s="217">
        <v>0</v>
      </c>
      <c r="E26" s="219">
        <v>2.7</v>
      </c>
      <c r="F26" s="222">
        <v>0</v>
      </c>
      <c r="G26" s="37" t="s">
        <v>90</v>
      </c>
    </row>
    <row r="27" spans="2:7" ht="55.5" customHeight="1">
      <c r="B27" s="282"/>
      <c r="C27" s="18" t="s">
        <v>451</v>
      </c>
      <c r="D27" s="217">
        <v>0</v>
      </c>
      <c r="E27" s="219">
        <v>2.7</v>
      </c>
      <c r="F27" s="222">
        <v>0</v>
      </c>
      <c r="G27" s="37" t="s">
        <v>90</v>
      </c>
    </row>
    <row r="28" spans="2:7" ht="55.5" customHeight="1">
      <c r="B28" s="282"/>
      <c r="C28" s="18" t="s">
        <v>452</v>
      </c>
      <c r="D28" s="217">
        <v>0</v>
      </c>
      <c r="E28" s="219">
        <v>4.2</v>
      </c>
      <c r="F28" s="222">
        <v>0</v>
      </c>
      <c r="G28" s="37" t="s">
        <v>90</v>
      </c>
    </row>
    <row r="29" spans="2:7" ht="55.5" customHeight="1">
      <c r="B29" s="282"/>
      <c r="C29" s="18" t="s">
        <v>453</v>
      </c>
      <c r="D29" s="217">
        <v>1827</v>
      </c>
      <c r="E29" s="219">
        <v>3.75</v>
      </c>
      <c r="F29" s="222">
        <v>3</v>
      </c>
      <c r="G29" s="14"/>
    </row>
    <row r="30" spans="2:7" ht="55.5" customHeight="1">
      <c r="B30" s="282"/>
      <c r="C30" s="18" t="s">
        <v>454</v>
      </c>
      <c r="D30" s="217">
        <v>0</v>
      </c>
      <c r="E30" s="219">
        <v>3.75</v>
      </c>
      <c r="F30" s="222">
        <v>0</v>
      </c>
      <c r="G30" s="37" t="s">
        <v>90</v>
      </c>
    </row>
    <row r="31" spans="2:7" ht="55.5" customHeight="1">
      <c r="B31" s="282"/>
      <c r="C31" s="18" t="s">
        <v>455</v>
      </c>
      <c r="D31" s="217">
        <v>899.16</v>
      </c>
      <c r="E31" s="219">
        <v>2.7</v>
      </c>
      <c r="F31" s="222">
        <v>2</v>
      </c>
      <c r="G31" s="14"/>
    </row>
    <row r="32" spans="2:7" ht="55.5" customHeight="1">
      <c r="B32" s="282"/>
      <c r="C32" s="18" t="s">
        <v>456</v>
      </c>
      <c r="D32" s="217">
        <v>368.55</v>
      </c>
      <c r="E32" s="219">
        <v>2.7</v>
      </c>
      <c r="F32" s="222">
        <v>1</v>
      </c>
      <c r="G32" s="14"/>
    </row>
    <row r="33" spans="2:7" ht="55.5" customHeight="1">
      <c r="B33" s="282"/>
      <c r="C33" s="18" t="s">
        <v>457</v>
      </c>
      <c r="D33" s="217">
        <v>2851.8</v>
      </c>
      <c r="E33" s="219">
        <v>4.2</v>
      </c>
      <c r="F33" s="222">
        <v>2</v>
      </c>
      <c r="G33" s="14"/>
    </row>
    <row r="34" spans="2:7" ht="55.5" customHeight="1">
      <c r="B34" s="282"/>
      <c r="C34" s="18" t="s">
        <v>458</v>
      </c>
      <c r="D34" s="217">
        <v>0</v>
      </c>
      <c r="E34" s="219">
        <v>2.7</v>
      </c>
      <c r="F34" s="222">
        <v>0</v>
      </c>
      <c r="G34" s="37" t="s">
        <v>90</v>
      </c>
    </row>
    <row r="35" spans="2:7" ht="55.5" customHeight="1">
      <c r="B35" s="282"/>
      <c r="C35" s="18" t="s">
        <v>459</v>
      </c>
      <c r="D35" s="217">
        <v>0</v>
      </c>
      <c r="E35" s="219">
        <v>3.75</v>
      </c>
      <c r="F35" s="222">
        <v>1</v>
      </c>
      <c r="G35" s="14"/>
    </row>
    <row r="36" spans="2:7" ht="55.5" customHeight="1">
      <c r="B36" s="282"/>
      <c r="C36" s="18" t="s">
        <v>460</v>
      </c>
      <c r="D36" s="217">
        <v>786.19</v>
      </c>
      <c r="E36" s="219">
        <v>3.75</v>
      </c>
      <c r="F36" s="222">
        <v>3</v>
      </c>
      <c r="G36" s="14"/>
    </row>
    <row r="37" spans="2:7" ht="55.5" customHeight="1">
      <c r="B37" s="282"/>
      <c r="C37" s="18" t="s">
        <v>460</v>
      </c>
      <c r="D37" s="217">
        <v>0</v>
      </c>
      <c r="E37" s="219">
        <v>12.5</v>
      </c>
      <c r="F37" s="222">
        <v>1</v>
      </c>
      <c r="G37" s="14"/>
    </row>
    <row r="38" spans="2:7" ht="55.5" customHeight="1">
      <c r="B38" s="282"/>
      <c r="C38" s="18" t="s">
        <v>461</v>
      </c>
      <c r="D38" s="217">
        <v>0</v>
      </c>
      <c r="E38" s="219">
        <v>2.7</v>
      </c>
      <c r="F38" s="222">
        <v>0</v>
      </c>
      <c r="G38" s="37" t="s">
        <v>90</v>
      </c>
    </row>
    <row r="39" spans="2:7" ht="55.5" customHeight="1">
      <c r="B39" s="282"/>
      <c r="C39" s="18" t="s">
        <v>462</v>
      </c>
      <c r="D39" s="217">
        <v>259.88</v>
      </c>
      <c r="E39" s="219">
        <v>3.75</v>
      </c>
      <c r="F39" s="222">
        <v>3</v>
      </c>
      <c r="G39" s="14"/>
    </row>
    <row r="40" spans="2:7" ht="55.5" customHeight="1">
      <c r="B40" s="282"/>
      <c r="C40" s="18" t="s">
        <v>463</v>
      </c>
      <c r="D40" s="217">
        <v>5286.75</v>
      </c>
      <c r="E40" s="219">
        <v>4.2</v>
      </c>
      <c r="F40" s="222">
        <v>7</v>
      </c>
      <c r="G40" s="14"/>
    </row>
    <row r="41" spans="2:7" ht="55.5" customHeight="1">
      <c r="B41" s="282"/>
      <c r="C41" s="18" t="s">
        <v>464</v>
      </c>
      <c r="D41" s="217">
        <v>0</v>
      </c>
      <c r="E41" s="219">
        <v>2.7</v>
      </c>
      <c r="F41" s="222">
        <v>0</v>
      </c>
      <c r="G41" s="37" t="s">
        <v>90</v>
      </c>
    </row>
    <row r="42" spans="2:7" ht="55.5" customHeight="1">
      <c r="B42" s="282"/>
      <c r="C42" s="18" t="s">
        <v>465</v>
      </c>
      <c r="D42" s="217">
        <v>571.6</v>
      </c>
      <c r="E42" s="219">
        <v>3.75</v>
      </c>
      <c r="F42" s="222">
        <v>4</v>
      </c>
      <c r="G42" s="14"/>
    </row>
    <row r="43" spans="2:7" ht="55.5" customHeight="1">
      <c r="B43" s="282"/>
      <c r="C43" s="18" t="s">
        <v>466</v>
      </c>
      <c r="D43" s="217">
        <v>0</v>
      </c>
      <c r="E43" s="219">
        <v>2.7</v>
      </c>
      <c r="F43" s="222">
        <v>1</v>
      </c>
      <c r="G43" s="14"/>
    </row>
    <row r="44" spans="2:7" ht="55.5" customHeight="1">
      <c r="B44" s="282"/>
      <c r="C44" s="18" t="s">
        <v>467</v>
      </c>
      <c r="D44" s="217">
        <v>1257.3699999999999</v>
      </c>
      <c r="E44" s="219">
        <v>3.75</v>
      </c>
      <c r="F44" s="222">
        <v>5</v>
      </c>
      <c r="G44" s="14"/>
    </row>
    <row r="45" spans="2:7" ht="55.5" customHeight="1">
      <c r="B45" s="282"/>
      <c r="C45" s="18" t="s">
        <v>468</v>
      </c>
      <c r="D45" s="217">
        <v>0</v>
      </c>
      <c r="E45" s="219">
        <v>2.7</v>
      </c>
      <c r="F45" s="222">
        <v>0</v>
      </c>
      <c r="G45" s="37" t="s">
        <v>90</v>
      </c>
    </row>
    <row r="46" spans="2:7" ht="55.5" customHeight="1">
      <c r="B46" s="282"/>
      <c r="C46" s="18" t="s">
        <v>469</v>
      </c>
      <c r="D46" s="217">
        <v>3753.75</v>
      </c>
      <c r="E46" s="219">
        <v>3.75</v>
      </c>
      <c r="F46" s="222">
        <v>1</v>
      </c>
      <c r="G46" s="14"/>
    </row>
    <row r="47" spans="2:7" ht="55.5" customHeight="1">
      <c r="B47" s="282"/>
      <c r="C47" s="18" t="s">
        <v>470</v>
      </c>
      <c r="D47" s="217">
        <v>5709.48</v>
      </c>
      <c r="E47" s="219">
        <v>4.2</v>
      </c>
      <c r="F47" s="222">
        <v>4</v>
      </c>
      <c r="G47" s="14"/>
    </row>
    <row r="48" spans="2:7" ht="55.5" customHeight="1">
      <c r="B48" s="282"/>
      <c r="C48" s="18" t="s">
        <v>471</v>
      </c>
      <c r="D48" s="217">
        <v>4458.72</v>
      </c>
      <c r="E48" s="219">
        <v>4.2</v>
      </c>
      <c r="F48" s="222">
        <v>7</v>
      </c>
      <c r="G48" s="14"/>
    </row>
    <row r="49" spans="2:10" ht="55.5" customHeight="1">
      <c r="B49" s="282"/>
      <c r="C49" s="18" t="s">
        <v>472</v>
      </c>
      <c r="D49" s="217">
        <v>2763.18</v>
      </c>
      <c r="E49" s="219">
        <v>4.2</v>
      </c>
      <c r="F49" s="222">
        <v>6</v>
      </c>
      <c r="G49" s="14"/>
    </row>
    <row r="50" spans="2:10" ht="55.5" customHeight="1">
      <c r="B50" s="282"/>
      <c r="C50" s="18" t="s">
        <v>473</v>
      </c>
      <c r="D50" s="217">
        <v>1359.09</v>
      </c>
      <c r="E50" s="219">
        <v>3.75</v>
      </c>
      <c r="F50" s="222">
        <v>6</v>
      </c>
      <c r="G50" s="14"/>
    </row>
    <row r="51" spans="2:10" ht="55.5" customHeight="1">
      <c r="B51" s="282"/>
      <c r="C51" s="18" t="s">
        <v>474</v>
      </c>
      <c r="D51" s="217">
        <v>0</v>
      </c>
      <c r="E51" s="219">
        <v>3.75</v>
      </c>
      <c r="F51" s="222">
        <v>0</v>
      </c>
      <c r="G51" s="37" t="s">
        <v>90</v>
      </c>
    </row>
    <row r="52" spans="2:10" ht="55.5" customHeight="1">
      <c r="B52" s="282"/>
      <c r="C52" s="18" t="s">
        <v>475</v>
      </c>
      <c r="D52" s="217">
        <v>265.44</v>
      </c>
      <c r="E52" s="219">
        <v>2.7</v>
      </c>
      <c r="F52" s="222">
        <v>4</v>
      </c>
      <c r="G52" s="14"/>
    </row>
    <row r="53" spans="2:10" ht="55.5" customHeight="1">
      <c r="B53" s="282"/>
      <c r="C53" s="18" t="s">
        <v>475</v>
      </c>
      <c r="D53" s="217">
        <v>0</v>
      </c>
      <c r="E53" s="219">
        <v>9</v>
      </c>
      <c r="F53" s="222">
        <v>1</v>
      </c>
      <c r="G53" s="14"/>
    </row>
    <row r="54" spans="2:10" ht="55.5" customHeight="1">
      <c r="B54" s="282"/>
      <c r="C54" s="18" t="s">
        <v>476</v>
      </c>
      <c r="D54" s="217">
        <v>0</v>
      </c>
      <c r="E54" s="219">
        <v>2.7</v>
      </c>
      <c r="F54" s="222">
        <v>3</v>
      </c>
      <c r="G54" s="14"/>
    </row>
    <row r="55" spans="2:10" ht="55.5" customHeight="1">
      <c r="B55" s="282"/>
      <c r="C55" s="18" t="s">
        <v>477</v>
      </c>
      <c r="D55" s="217">
        <v>0</v>
      </c>
      <c r="E55" s="219">
        <v>2.7</v>
      </c>
      <c r="F55" s="222">
        <v>1</v>
      </c>
      <c r="G55" s="14"/>
    </row>
    <row r="56" spans="2:10" ht="55.5" customHeight="1">
      <c r="B56" s="282"/>
      <c r="C56" s="18" t="s">
        <v>477</v>
      </c>
      <c r="D56" s="217">
        <v>0</v>
      </c>
      <c r="E56" s="219">
        <v>9</v>
      </c>
      <c r="F56" s="222">
        <v>1</v>
      </c>
      <c r="G56" s="14"/>
    </row>
    <row r="57" spans="2:10" ht="55.5" customHeight="1">
      <c r="B57" s="282"/>
      <c r="C57" s="18" t="s">
        <v>478</v>
      </c>
      <c r="D57" s="217">
        <v>493.5</v>
      </c>
      <c r="E57" s="219">
        <v>3.75</v>
      </c>
      <c r="F57" s="222">
        <v>3</v>
      </c>
      <c r="G57" s="14"/>
    </row>
    <row r="58" spans="2:10" ht="55.5" customHeight="1">
      <c r="B58" s="282"/>
      <c r="C58" s="18" t="s">
        <v>479</v>
      </c>
      <c r="D58" s="217">
        <v>523.5</v>
      </c>
      <c r="E58" s="219">
        <v>3.75</v>
      </c>
      <c r="F58" s="222">
        <v>4</v>
      </c>
      <c r="G58" s="14"/>
    </row>
    <row r="59" spans="2:10" ht="25.5" customHeight="1">
      <c r="B59" s="17" t="s">
        <v>61</v>
      </c>
      <c r="C59" s="18"/>
      <c r="D59" s="218">
        <f>SUM(D8:D58)</f>
        <v>53438.6</v>
      </c>
      <c r="E59" s="218">
        <f>SUM(E8:E58)</f>
        <v>201.84999999999994</v>
      </c>
      <c r="F59" s="57">
        <f>SUM(F8:F58)</f>
        <v>107</v>
      </c>
      <c r="G59" s="20"/>
    </row>
    <row r="60" spans="2:10" ht="25.5" customHeight="1">
      <c r="B60" s="281" t="s">
        <v>62</v>
      </c>
      <c r="C60" s="18" t="s">
        <v>480</v>
      </c>
      <c r="D60" s="217">
        <v>0</v>
      </c>
      <c r="E60" s="59">
        <v>0</v>
      </c>
      <c r="F60" s="101">
        <v>0</v>
      </c>
      <c r="G60" s="37" t="s">
        <v>90</v>
      </c>
    </row>
    <row r="61" spans="2:10" ht="25.5" customHeight="1">
      <c r="B61" s="282"/>
      <c r="C61" s="18" t="s">
        <v>481</v>
      </c>
      <c r="D61" s="217">
        <v>0</v>
      </c>
      <c r="E61" s="172">
        <v>9.25</v>
      </c>
      <c r="F61" s="101">
        <v>0</v>
      </c>
      <c r="G61" s="37" t="s">
        <v>90</v>
      </c>
    </row>
    <row r="62" spans="2:10" ht="25.5" customHeight="1">
      <c r="B62" s="282"/>
      <c r="C62" s="18" t="s">
        <v>482</v>
      </c>
      <c r="D62" s="217">
        <v>99</v>
      </c>
      <c r="E62" s="172">
        <v>4.13</v>
      </c>
      <c r="F62" s="101">
        <v>0</v>
      </c>
      <c r="G62" s="20"/>
    </row>
    <row r="63" spans="2:10" ht="25.5" customHeight="1">
      <c r="B63" s="282"/>
      <c r="C63" s="18" t="s">
        <v>483</v>
      </c>
      <c r="D63" s="217">
        <v>35</v>
      </c>
      <c r="E63" s="172">
        <v>9.25</v>
      </c>
      <c r="F63" s="101">
        <v>0</v>
      </c>
      <c r="G63" s="37" t="s">
        <v>90</v>
      </c>
    </row>
    <row r="64" spans="2:10" ht="25.5" customHeight="1">
      <c r="B64" s="283"/>
      <c r="C64" s="18" t="s">
        <v>484</v>
      </c>
      <c r="D64" s="217">
        <v>37</v>
      </c>
      <c r="E64" s="172">
        <v>9.25</v>
      </c>
      <c r="F64" s="101">
        <v>0</v>
      </c>
      <c r="G64" s="37" t="s">
        <v>90</v>
      </c>
      <c r="H64" s="15"/>
      <c r="I64" s="15"/>
      <c r="J64" s="15"/>
    </row>
    <row r="65" spans="1:10" ht="25.5" customHeight="1">
      <c r="B65" s="21" t="s">
        <v>61</v>
      </c>
      <c r="C65" s="21"/>
      <c r="D65" s="218">
        <f>SUM(D60:D64)</f>
        <v>171</v>
      </c>
      <c r="E65" s="218">
        <f>SUM(E60:E64)</f>
        <v>31.88</v>
      </c>
      <c r="F65" s="225">
        <f>SUM(F60:F64)</f>
        <v>0</v>
      </c>
      <c r="G65" s="20"/>
      <c r="H65" s="15"/>
      <c r="I65" s="15"/>
      <c r="J65" s="15"/>
    </row>
    <row r="66" spans="1:10" ht="31.5" customHeight="1">
      <c r="B66" s="305" t="s">
        <v>66</v>
      </c>
      <c r="C66" s="305"/>
      <c r="D66" s="305"/>
      <c r="E66" s="305"/>
      <c r="F66" s="305"/>
      <c r="G66" s="306"/>
    </row>
    <row r="67" spans="1:10" ht="53.25" customHeight="1">
      <c r="A67" s="8"/>
      <c r="B67" s="13" t="s">
        <v>9</v>
      </c>
      <c r="C67" s="13" t="s">
        <v>67</v>
      </c>
      <c r="D67" s="212" t="s">
        <v>11</v>
      </c>
      <c r="E67" s="213" t="s">
        <v>68</v>
      </c>
      <c r="F67" s="13" t="s">
        <v>2</v>
      </c>
      <c r="G67" s="14" t="s">
        <v>69</v>
      </c>
    </row>
    <row r="68" spans="1:10" ht="33" customHeight="1">
      <c r="B68" s="23" t="s">
        <v>70</v>
      </c>
      <c r="C68" s="24"/>
      <c r="D68" s="217">
        <v>0</v>
      </c>
      <c r="E68" s="43">
        <v>0</v>
      </c>
      <c r="F68" s="25">
        <v>0</v>
      </c>
      <c r="G68" s="37" t="s">
        <v>90</v>
      </c>
    </row>
    <row r="69" spans="1:10" ht="24.75" customHeight="1">
      <c r="B69" s="27" t="s">
        <v>61</v>
      </c>
      <c r="C69" s="28"/>
      <c r="D69" s="220">
        <f>SUM(D68)</f>
        <v>0</v>
      </c>
      <c r="E69" s="50">
        <f>SUM(E68)</f>
        <v>0</v>
      </c>
      <c r="F69" s="52">
        <f>SUM(F68)</f>
        <v>0</v>
      </c>
      <c r="G69" s="26"/>
    </row>
    <row r="70" spans="1:10" ht="28.5" customHeight="1">
      <c r="B70" s="23" t="s">
        <v>71</v>
      </c>
      <c r="C70" s="24"/>
      <c r="D70" s="223">
        <v>1235.24</v>
      </c>
      <c r="E70" s="43">
        <v>2163.4299999999998</v>
      </c>
      <c r="F70" s="224">
        <v>51</v>
      </c>
      <c r="G70" s="26"/>
    </row>
    <row r="71" spans="1:10" ht="29.25" customHeight="1">
      <c r="B71" s="27" t="s">
        <v>61</v>
      </c>
      <c r="C71" s="28"/>
      <c r="D71" s="220">
        <f>SUM(D70)</f>
        <v>1235.24</v>
      </c>
      <c r="E71" s="220">
        <f>SUM(E70)</f>
        <v>2163.4299999999998</v>
      </c>
      <c r="F71" s="226">
        <f>SUM(F70)</f>
        <v>51</v>
      </c>
      <c r="G71" s="26" t="s">
        <v>485</v>
      </c>
    </row>
    <row r="72" spans="1:10" ht="24" customHeight="1">
      <c r="B72" s="23" t="s">
        <v>76</v>
      </c>
      <c r="C72" s="24"/>
      <c r="D72" s="217">
        <v>0</v>
      </c>
      <c r="E72" s="43">
        <v>0</v>
      </c>
      <c r="F72" s="25">
        <v>0</v>
      </c>
      <c r="G72" s="37" t="s">
        <v>90</v>
      </c>
    </row>
    <row r="73" spans="1:10" ht="27" customHeight="1">
      <c r="B73" s="27" t="s">
        <v>61</v>
      </c>
      <c r="C73" s="28"/>
      <c r="D73" s="220">
        <f>SUM(D72)</f>
        <v>0</v>
      </c>
      <c r="E73" s="50">
        <f>SUM(E72)</f>
        <v>0</v>
      </c>
      <c r="F73" s="52">
        <f>SUM(F72)</f>
        <v>0</v>
      </c>
      <c r="G73" s="26"/>
    </row>
    <row r="74" spans="1:10" ht="66" customHeight="1">
      <c r="B74" s="23" t="s">
        <v>79</v>
      </c>
      <c r="C74" s="214" t="s">
        <v>486</v>
      </c>
      <c r="D74" s="223">
        <f>SUM(D73)</f>
        <v>0</v>
      </c>
      <c r="E74" s="43">
        <v>12440.44</v>
      </c>
      <c r="F74" s="40">
        <v>1</v>
      </c>
      <c r="G74" s="122" t="s">
        <v>487</v>
      </c>
    </row>
    <row r="75" spans="1:10" ht="46.8">
      <c r="B75" s="23"/>
      <c r="C75" s="214" t="s">
        <v>488</v>
      </c>
      <c r="D75" s="223">
        <f>SUM(D74)</f>
        <v>0</v>
      </c>
      <c r="E75" s="43">
        <v>14190</v>
      </c>
      <c r="F75" s="40">
        <v>1</v>
      </c>
      <c r="G75" s="122" t="s">
        <v>487</v>
      </c>
    </row>
    <row r="76" spans="1:10" ht="46.8">
      <c r="B76" s="23"/>
      <c r="C76" s="214" t="s">
        <v>489</v>
      </c>
      <c r="D76" s="223">
        <v>4743.3599999999997</v>
      </c>
      <c r="E76" s="43">
        <v>15552</v>
      </c>
      <c r="F76" s="40">
        <v>1</v>
      </c>
      <c r="G76" s="215" t="s">
        <v>490</v>
      </c>
    </row>
    <row r="77" spans="1:10" ht="78">
      <c r="B77" s="23"/>
      <c r="C77" s="214" t="s">
        <v>491</v>
      </c>
      <c r="D77" s="223">
        <v>0</v>
      </c>
      <c r="E77" s="43">
        <v>1738.5</v>
      </c>
      <c r="F77" s="40">
        <v>0</v>
      </c>
      <c r="G77" s="122" t="s">
        <v>487</v>
      </c>
    </row>
    <row r="78" spans="1:10" ht="16.5" customHeight="1">
      <c r="B78" s="27" t="s">
        <v>61</v>
      </c>
      <c r="C78" s="28"/>
      <c r="D78" s="220">
        <f>SUM(D74:D77)</f>
        <v>4743.3599999999997</v>
      </c>
      <c r="E78" s="220">
        <f>SUM(E74:E77)</f>
        <v>43920.94</v>
      </c>
      <c r="F78" s="226">
        <f>SUM(F74:F77)</f>
        <v>3</v>
      </c>
      <c r="G78" s="26"/>
    </row>
    <row r="79" spans="1:10" ht="30.75" customHeight="1">
      <c r="B79" s="23" t="s">
        <v>82</v>
      </c>
      <c r="C79" s="30"/>
      <c r="D79" s="217">
        <v>0</v>
      </c>
      <c r="E79" s="43">
        <v>0</v>
      </c>
      <c r="F79" s="25">
        <v>0</v>
      </c>
      <c r="G79" s="37" t="s">
        <v>90</v>
      </c>
    </row>
    <row r="80" spans="1:10" ht="15.6">
      <c r="B80" s="27" t="s">
        <v>61</v>
      </c>
      <c r="C80" s="28"/>
      <c r="D80" s="220">
        <f>SUM(D79)</f>
        <v>0</v>
      </c>
      <c r="E80" s="50">
        <f>SUM(E79)</f>
        <v>0</v>
      </c>
      <c r="F80" s="52">
        <f>SUM(F79)</f>
        <v>0</v>
      </c>
      <c r="G80" s="26"/>
    </row>
    <row r="81" spans="2:7" ht="17.25" customHeight="1">
      <c r="B81" s="304"/>
      <c r="C81" s="304"/>
      <c r="D81" s="304"/>
      <c r="E81" s="304"/>
      <c r="F81" s="304"/>
      <c r="G81" s="304"/>
    </row>
    <row r="82" spans="2:7" ht="33" customHeight="1">
      <c r="B82" s="21" t="s">
        <v>83</v>
      </c>
      <c r="C82" s="28"/>
      <c r="D82" s="221">
        <f>D59+D65+D69+D71+D73+D78+D80</f>
        <v>59588.2</v>
      </c>
      <c r="E82" s="221">
        <f>E59+E65+E69+E71+E73+E78+E80</f>
        <v>46318.100000000006</v>
      </c>
      <c r="F82" s="227">
        <f>F59+F65+F69+F71+F73+F78+F80</f>
        <v>161</v>
      </c>
      <c r="G82" s="26"/>
    </row>
    <row r="83" spans="2:7">
      <c r="B83" s="31"/>
      <c r="C83" s="32"/>
      <c r="D83" s="216"/>
      <c r="E83" s="216"/>
      <c r="F83" s="32"/>
    </row>
    <row r="84" spans="2:7">
      <c r="B84" s="31"/>
      <c r="C84" s="32"/>
      <c r="D84" s="216"/>
      <c r="E84" s="216"/>
      <c r="F84" s="32"/>
    </row>
    <row r="85" spans="2:7">
      <c r="B85" s="33" t="s">
        <v>494</v>
      </c>
    </row>
    <row r="86" spans="2:7">
      <c r="B86" s="33"/>
    </row>
    <row r="87" spans="2:7">
      <c r="B87" s="34" t="s">
        <v>175</v>
      </c>
    </row>
    <row r="88" spans="2:7">
      <c r="B88" s="34" t="s">
        <v>492</v>
      </c>
    </row>
    <row r="89" spans="2:7">
      <c r="B89" s="34" t="s">
        <v>493</v>
      </c>
    </row>
    <row r="90" spans="2:7">
      <c r="B90" s="35"/>
    </row>
    <row r="91" spans="2:7">
      <c r="B91" t="s">
        <v>137</v>
      </c>
    </row>
    <row r="92" spans="2:7">
      <c r="B92" s="280"/>
      <c r="C92" s="280"/>
      <c r="D92" s="280"/>
    </row>
    <row r="94" spans="2:7" ht="15.75" customHeight="1"/>
  </sheetData>
  <mergeCells count="8">
    <mergeCell ref="B81:G81"/>
    <mergeCell ref="B92:D92"/>
    <mergeCell ref="B4:G4"/>
    <mergeCell ref="B5:G5"/>
    <mergeCell ref="B6:G6"/>
    <mergeCell ref="B8:B58"/>
    <mergeCell ref="B60:B64"/>
    <mergeCell ref="B66:G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F131-EFEC-4B6E-BD98-B6888EED3754}">
  <dimension ref="A1:K88"/>
  <sheetViews>
    <sheetView topLeftCell="A69" workbookViewId="0">
      <selection activeCell="D76" sqref="D76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4.44140625" customWidth="1"/>
    <col min="11" max="11" width="11" style="10" bestFit="1" customWidth="1"/>
  </cols>
  <sheetData>
    <row r="1" spans="2:8" ht="30" customHeight="1">
      <c r="B1" s="9" t="s">
        <v>4</v>
      </c>
    </row>
    <row r="2" spans="2:8" ht="25.5" customHeight="1">
      <c r="B2" s="9" t="s">
        <v>5</v>
      </c>
      <c r="D2" s="11"/>
      <c r="E2" s="11"/>
    </row>
    <row r="3" spans="2:8" ht="12.75" customHeight="1">
      <c r="B3" s="9"/>
      <c r="D3" s="11"/>
      <c r="E3" s="11"/>
    </row>
    <row r="4" spans="2:8" ht="32.25" customHeight="1">
      <c r="B4" s="298" t="s">
        <v>6</v>
      </c>
      <c r="C4" s="298"/>
      <c r="D4" s="298"/>
      <c r="E4" s="298"/>
      <c r="F4" s="298"/>
      <c r="G4" s="298"/>
    </row>
    <row r="5" spans="2:8" ht="31.5" customHeight="1">
      <c r="B5" s="298" t="s">
        <v>7</v>
      </c>
      <c r="C5" s="298"/>
      <c r="D5" s="298"/>
      <c r="E5" s="298"/>
      <c r="F5" s="298"/>
      <c r="G5" s="298"/>
    </row>
    <row r="6" spans="2:8" ht="26.25" customHeight="1">
      <c r="B6" s="299" t="s">
        <v>8</v>
      </c>
      <c r="C6" s="299"/>
      <c r="D6" s="299"/>
      <c r="E6" s="299"/>
      <c r="F6" s="299"/>
      <c r="G6" s="299"/>
    </row>
    <row r="7" spans="2:8" ht="55.5" customHeight="1">
      <c r="B7" s="12" t="s">
        <v>9</v>
      </c>
      <c r="C7" s="13" t="s">
        <v>10</v>
      </c>
      <c r="D7" s="13" t="s">
        <v>11</v>
      </c>
      <c r="E7" s="13" t="s">
        <v>12</v>
      </c>
      <c r="F7" s="13" t="s">
        <v>2</v>
      </c>
      <c r="G7" s="14" t="s">
        <v>13</v>
      </c>
    </row>
    <row r="8" spans="2:8" ht="55.5" customHeight="1">
      <c r="B8" s="282"/>
      <c r="C8" s="36" t="s">
        <v>14</v>
      </c>
      <c r="D8" s="41">
        <v>1506.16</v>
      </c>
      <c r="E8" s="41">
        <v>4.5</v>
      </c>
      <c r="F8" s="46">
        <v>5</v>
      </c>
      <c r="G8" s="37" t="s">
        <v>15</v>
      </c>
      <c r="H8" s="15"/>
    </row>
    <row r="9" spans="2:8" ht="55.5" customHeight="1">
      <c r="B9" s="282"/>
      <c r="C9" s="36" t="s">
        <v>16</v>
      </c>
      <c r="D9" s="41">
        <v>1304.9000000000001</v>
      </c>
      <c r="E9" s="41">
        <v>2.7</v>
      </c>
      <c r="F9" s="46">
        <v>8</v>
      </c>
      <c r="G9" s="37" t="s">
        <v>15</v>
      </c>
      <c r="H9" s="15"/>
    </row>
    <row r="10" spans="2:8" ht="55.5" customHeight="1">
      <c r="B10" s="282"/>
      <c r="C10" s="36" t="s">
        <v>17</v>
      </c>
      <c r="D10" s="41">
        <v>0</v>
      </c>
      <c r="E10" s="41">
        <v>9</v>
      </c>
      <c r="F10" s="46">
        <v>0</v>
      </c>
      <c r="G10" s="37" t="s">
        <v>90</v>
      </c>
      <c r="H10" s="15"/>
    </row>
    <row r="11" spans="2:8" ht="55.5" customHeight="1">
      <c r="B11" s="282"/>
      <c r="C11" s="36" t="s">
        <v>18</v>
      </c>
      <c r="D11" s="41">
        <v>440.37</v>
      </c>
      <c r="E11" s="41">
        <v>2.7</v>
      </c>
      <c r="F11" s="46">
        <v>5</v>
      </c>
      <c r="G11" s="37" t="s">
        <v>15</v>
      </c>
      <c r="H11" s="15"/>
    </row>
    <row r="12" spans="2:8" ht="55.5" customHeight="1">
      <c r="B12" s="282"/>
      <c r="C12" s="36" t="s">
        <v>19</v>
      </c>
      <c r="D12" s="41">
        <v>907.2</v>
      </c>
      <c r="E12" s="41">
        <v>4.5</v>
      </c>
      <c r="F12" s="46">
        <v>4</v>
      </c>
      <c r="G12" s="37" t="s">
        <v>15</v>
      </c>
      <c r="H12" s="15"/>
    </row>
    <row r="13" spans="2:8" ht="55.5" customHeight="1">
      <c r="B13" s="282"/>
      <c r="C13" s="36" t="s">
        <v>20</v>
      </c>
      <c r="D13" s="41">
        <v>7135</v>
      </c>
      <c r="E13" s="41">
        <v>6</v>
      </c>
      <c r="F13" s="46">
        <v>5</v>
      </c>
      <c r="G13" s="37" t="s">
        <v>15</v>
      </c>
      <c r="H13" s="15"/>
    </row>
    <row r="14" spans="2:8" ht="55.5" customHeight="1">
      <c r="B14" s="282"/>
      <c r="C14" s="36" t="s">
        <v>21</v>
      </c>
      <c r="D14" s="41">
        <v>887.36</v>
      </c>
      <c r="E14" s="41">
        <v>2.7</v>
      </c>
      <c r="F14" s="46">
        <v>2</v>
      </c>
      <c r="G14" s="37" t="s">
        <v>15</v>
      </c>
      <c r="H14" s="15"/>
    </row>
    <row r="15" spans="2:8" ht="55.5" customHeight="1">
      <c r="B15" s="282"/>
      <c r="C15" s="36" t="s">
        <v>22</v>
      </c>
      <c r="D15" s="41">
        <v>76.599999999999994</v>
      </c>
      <c r="E15" s="41">
        <v>2.7</v>
      </c>
      <c r="F15" s="46">
        <v>2</v>
      </c>
      <c r="G15" s="37" t="s">
        <v>15</v>
      </c>
      <c r="H15" s="15"/>
    </row>
    <row r="16" spans="2:8" ht="55.5" customHeight="1">
      <c r="B16" s="282"/>
      <c r="C16" s="36" t="s">
        <v>23</v>
      </c>
      <c r="D16" s="41">
        <v>2715.3</v>
      </c>
      <c r="E16" s="41">
        <v>4.5</v>
      </c>
      <c r="F16" s="46">
        <v>5</v>
      </c>
      <c r="G16" s="37" t="s">
        <v>15</v>
      </c>
      <c r="H16" s="15"/>
    </row>
    <row r="17" spans="2:8" ht="55.5" customHeight="1">
      <c r="B17" s="282"/>
      <c r="C17" s="36" t="s">
        <v>24</v>
      </c>
      <c r="D17" s="41">
        <v>115.29</v>
      </c>
      <c r="E17" s="41">
        <v>2.7</v>
      </c>
      <c r="F17" s="46">
        <v>1</v>
      </c>
      <c r="G17" s="37" t="s">
        <v>15</v>
      </c>
      <c r="H17" s="15"/>
    </row>
    <row r="18" spans="2:8" ht="55.5" customHeight="1">
      <c r="B18" s="282"/>
      <c r="C18" s="36" t="s">
        <v>25</v>
      </c>
      <c r="D18" s="41">
        <v>982.8</v>
      </c>
      <c r="E18" s="41">
        <v>4.5</v>
      </c>
      <c r="F18" s="46">
        <v>3</v>
      </c>
      <c r="G18" s="37" t="s">
        <v>15</v>
      </c>
      <c r="H18" s="15"/>
    </row>
    <row r="19" spans="2:8" ht="55.5" customHeight="1">
      <c r="B19" s="282"/>
      <c r="C19" s="36" t="s">
        <v>26</v>
      </c>
      <c r="D19" s="41">
        <v>141.75</v>
      </c>
      <c r="E19" s="41">
        <v>2.7</v>
      </c>
      <c r="F19" s="46">
        <v>1</v>
      </c>
      <c r="G19" s="37" t="s">
        <v>15</v>
      </c>
      <c r="H19" s="15"/>
    </row>
    <row r="20" spans="2:8" ht="55.5" customHeight="1">
      <c r="B20" s="282"/>
      <c r="C20" s="38" t="s">
        <v>27</v>
      </c>
      <c r="D20" s="41">
        <v>0</v>
      </c>
      <c r="E20" s="42">
        <v>9</v>
      </c>
      <c r="F20" s="47">
        <v>0</v>
      </c>
      <c r="G20" s="37" t="s">
        <v>90</v>
      </c>
      <c r="H20" s="15"/>
    </row>
    <row r="21" spans="2:8" ht="55.5" customHeight="1">
      <c r="B21" s="282"/>
      <c r="C21" s="36" t="s">
        <v>28</v>
      </c>
      <c r="D21" s="41">
        <v>3798.9</v>
      </c>
      <c r="E21" s="41">
        <v>4.5</v>
      </c>
      <c r="F21" s="46">
        <v>1</v>
      </c>
      <c r="G21" s="37" t="s">
        <v>15</v>
      </c>
      <c r="H21" s="15"/>
    </row>
    <row r="22" spans="2:8" ht="55.5" customHeight="1">
      <c r="B22" s="282"/>
      <c r="C22" s="36" t="s">
        <v>29</v>
      </c>
      <c r="D22" s="41">
        <v>2208.4699999999998</v>
      </c>
      <c r="E22" s="41">
        <v>2.7</v>
      </c>
      <c r="F22" s="46">
        <v>2</v>
      </c>
      <c r="G22" s="37" t="s">
        <v>15</v>
      </c>
      <c r="H22" s="15"/>
    </row>
    <row r="23" spans="2:8" ht="55.5" customHeight="1">
      <c r="B23" s="282"/>
      <c r="C23" s="36" t="s">
        <v>30</v>
      </c>
      <c r="D23" s="41">
        <v>141.75</v>
      </c>
      <c r="E23" s="41">
        <v>2.7</v>
      </c>
      <c r="F23" s="46">
        <v>2</v>
      </c>
      <c r="G23" s="37" t="s">
        <v>15</v>
      </c>
      <c r="H23" s="15"/>
    </row>
    <row r="24" spans="2:8" ht="55.5" customHeight="1">
      <c r="B24" s="282"/>
      <c r="C24" s="36" t="s">
        <v>30</v>
      </c>
      <c r="D24" s="41">
        <v>0</v>
      </c>
      <c r="E24" s="42">
        <v>9</v>
      </c>
      <c r="F24" s="46">
        <v>0</v>
      </c>
      <c r="G24" s="37" t="s">
        <v>90</v>
      </c>
      <c r="H24" s="15"/>
    </row>
    <row r="25" spans="2:8" ht="55.5" customHeight="1">
      <c r="B25" s="282"/>
      <c r="C25" s="36" t="s">
        <v>31</v>
      </c>
      <c r="D25" s="41">
        <v>606.29999999999995</v>
      </c>
      <c r="E25" s="41">
        <v>4.5</v>
      </c>
      <c r="F25" s="46">
        <v>2</v>
      </c>
      <c r="G25" s="37" t="s">
        <v>15</v>
      </c>
      <c r="H25" s="15"/>
    </row>
    <row r="26" spans="2:8" ht="55.5" customHeight="1">
      <c r="B26" s="282"/>
      <c r="C26" s="36" t="s">
        <v>32</v>
      </c>
      <c r="D26" s="41">
        <v>0</v>
      </c>
      <c r="E26" s="41">
        <v>2.7</v>
      </c>
      <c r="F26" s="46">
        <v>0</v>
      </c>
      <c r="G26" s="37" t="s">
        <v>90</v>
      </c>
      <c r="H26" s="15"/>
    </row>
    <row r="27" spans="2:8" ht="55.5" customHeight="1">
      <c r="B27" s="282"/>
      <c r="C27" s="36" t="s">
        <v>33</v>
      </c>
      <c r="D27" s="41">
        <v>780.42</v>
      </c>
      <c r="E27" s="41">
        <v>4.5</v>
      </c>
      <c r="F27" s="46">
        <v>2</v>
      </c>
      <c r="G27" s="37" t="s">
        <v>15</v>
      </c>
      <c r="H27" s="15"/>
    </row>
    <row r="28" spans="2:8" ht="55.5" customHeight="1">
      <c r="B28" s="282"/>
      <c r="C28" s="36" t="s">
        <v>34</v>
      </c>
      <c r="D28" s="41">
        <v>0</v>
      </c>
      <c r="E28" s="41">
        <v>2.7</v>
      </c>
      <c r="F28" s="46">
        <v>0</v>
      </c>
      <c r="G28" s="37" t="s">
        <v>90</v>
      </c>
      <c r="H28" s="15"/>
    </row>
    <row r="29" spans="2:8" ht="55.5" customHeight="1">
      <c r="B29" s="282"/>
      <c r="C29" s="38" t="s">
        <v>35</v>
      </c>
      <c r="D29" s="41">
        <v>1673.92</v>
      </c>
      <c r="E29" s="41">
        <v>4.5</v>
      </c>
      <c r="F29" s="46">
        <v>5</v>
      </c>
      <c r="G29" s="37" t="s">
        <v>15</v>
      </c>
      <c r="H29" s="15"/>
    </row>
    <row r="30" spans="2:8" ht="55.5" customHeight="1">
      <c r="B30" s="282"/>
      <c r="C30" s="38" t="s">
        <v>36</v>
      </c>
      <c r="D30" s="41">
        <v>0</v>
      </c>
      <c r="E30" s="41">
        <v>4.5</v>
      </c>
      <c r="F30" s="47">
        <v>0</v>
      </c>
      <c r="G30" s="37" t="s">
        <v>90</v>
      </c>
      <c r="H30" s="15"/>
    </row>
    <row r="31" spans="2:8" ht="55.5" customHeight="1">
      <c r="B31" s="282"/>
      <c r="C31" s="36" t="s">
        <v>37</v>
      </c>
      <c r="D31" s="41">
        <v>0</v>
      </c>
      <c r="E31" s="41">
        <v>2.7</v>
      </c>
      <c r="F31" s="46">
        <v>0</v>
      </c>
      <c r="G31" s="37" t="s">
        <v>90</v>
      </c>
      <c r="H31" s="15"/>
    </row>
    <row r="32" spans="2:8" ht="55.5" customHeight="1">
      <c r="B32" s="282"/>
      <c r="C32" s="36" t="s">
        <v>38</v>
      </c>
      <c r="D32" s="41">
        <v>1136.1099999999999</v>
      </c>
      <c r="E32" s="41">
        <v>4.5</v>
      </c>
      <c r="F32" s="46">
        <v>3</v>
      </c>
      <c r="G32" s="37" t="s">
        <v>15</v>
      </c>
      <c r="H32" s="15"/>
    </row>
    <row r="33" spans="2:8" ht="55.5" customHeight="1">
      <c r="B33" s="282"/>
      <c r="C33" s="36" t="s">
        <v>39</v>
      </c>
      <c r="D33" s="41">
        <v>0</v>
      </c>
      <c r="E33" s="41">
        <v>2.7</v>
      </c>
      <c r="F33" s="46">
        <v>0</v>
      </c>
      <c r="G33" s="37" t="s">
        <v>90</v>
      </c>
      <c r="H33" s="15"/>
    </row>
    <row r="34" spans="2:8" ht="55.5" customHeight="1">
      <c r="B34" s="282"/>
      <c r="C34" s="36" t="s">
        <v>40</v>
      </c>
      <c r="D34" s="41">
        <v>1672.25</v>
      </c>
      <c r="E34" s="41">
        <v>4.5</v>
      </c>
      <c r="F34" s="46">
        <v>3</v>
      </c>
      <c r="G34" s="37" t="s">
        <v>15</v>
      </c>
      <c r="H34" s="15"/>
    </row>
    <row r="35" spans="2:8" ht="55.5" customHeight="1">
      <c r="B35" s="282"/>
      <c r="C35" s="36" t="s">
        <v>41</v>
      </c>
      <c r="D35" s="41">
        <v>230.58</v>
      </c>
      <c r="E35" s="41">
        <v>2.7</v>
      </c>
      <c r="F35" s="46">
        <v>2</v>
      </c>
      <c r="G35" s="37" t="s">
        <v>15</v>
      </c>
      <c r="H35" s="15"/>
    </row>
    <row r="36" spans="2:8" ht="55.5" customHeight="1">
      <c r="B36" s="282"/>
      <c r="C36" s="36" t="s">
        <v>42</v>
      </c>
      <c r="D36" s="41">
        <v>0</v>
      </c>
      <c r="E36" s="41">
        <v>2.7</v>
      </c>
      <c r="F36" s="46">
        <v>0</v>
      </c>
      <c r="G36" s="37" t="s">
        <v>90</v>
      </c>
      <c r="H36" s="15"/>
    </row>
    <row r="37" spans="2:8" ht="55.5" customHeight="1">
      <c r="B37" s="282"/>
      <c r="C37" s="36" t="s">
        <v>43</v>
      </c>
      <c r="D37" s="41">
        <v>1341.12</v>
      </c>
      <c r="E37" s="41">
        <v>4.5</v>
      </c>
      <c r="F37" s="46">
        <v>4</v>
      </c>
      <c r="G37" s="37" t="s">
        <v>15</v>
      </c>
      <c r="H37" s="15"/>
    </row>
    <row r="38" spans="2:8" ht="55.5" customHeight="1">
      <c r="B38" s="282"/>
      <c r="C38" s="36" t="s">
        <v>44</v>
      </c>
      <c r="D38" s="41">
        <v>0</v>
      </c>
      <c r="E38" s="41">
        <v>2.7</v>
      </c>
      <c r="F38" s="46">
        <v>0</v>
      </c>
      <c r="G38" s="37" t="s">
        <v>90</v>
      </c>
      <c r="H38" s="15"/>
    </row>
    <row r="39" spans="2:8" ht="55.5" customHeight="1">
      <c r="B39" s="282"/>
      <c r="C39" s="38" t="s">
        <v>45</v>
      </c>
      <c r="D39" s="41">
        <v>351.54</v>
      </c>
      <c r="E39" s="41">
        <v>2.7</v>
      </c>
      <c r="F39" s="48">
        <v>3</v>
      </c>
      <c r="G39" s="37" t="s">
        <v>15</v>
      </c>
      <c r="H39" s="15"/>
    </row>
    <row r="40" spans="2:8" ht="55.5" customHeight="1">
      <c r="B40" s="282"/>
      <c r="C40" s="36" t="s">
        <v>46</v>
      </c>
      <c r="D40" s="41">
        <v>0</v>
      </c>
      <c r="E40" s="41">
        <v>2.7</v>
      </c>
      <c r="F40" s="46">
        <v>0</v>
      </c>
      <c r="G40" s="37" t="s">
        <v>90</v>
      </c>
      <c r="H40" s="15"/>
    </row>
    <row r="41" spans="2:8" ht="55.5" customHeight="1">
      <c r="B41" s="282"/>
      <c r="C41" s="36" t="s">
        <v>47</v>
      </c>
      <c r="D41" s="41">
        <v>3703.95</v>
      </c>
      <c r="E41" s="41">
        <v>4.5</v>
      </c>
      <c r="F41" s="46">
        <v>4</v>
      </c>
      <c r="G41" s="37" t="s">
        <v>15</v>
      </c>
      <c r="H41" s="15"/>
    </row>
    <row r="42" spans="2:8" ht="55.5" customHeight="1">
      <c r="B42" s="282"/>
      <c r="C42" s="36" t="s">
        <v>48</v>
      </c>
      <c r="D42" s="41">
        <v>0</v>
      </c>
      <c r="E42" s="41">
        <v>2.7</v>
      </c>
      <c r="F42" s="46">
        <v>0</v>
      </c>
      <c r="G42" s="37" t="s">
        <v>90</v>
      </c>
      <c r="H42" s="15"/>
    </row>
    <row r="43" spans="2:8" ht="55.5" customHeight="1">
      <c r="B43" s="282"/>
      <c r="C43" s="36" t="s">
        <v>49</v>
      </c>
      <c r="D43" s="41">
        <v>58.59</v>
      </c>
      <c r="E43" s="41">
        <v>4.5</v>
      </c>
      <c r="F43" s="46">
        <v>2</v>
      </c>
      <c r="G43" s="37" t="s">
        <v>15</v>
      </c>
      <c r="H43" s="15"/>
    </row>
    <row r="44" spans="2:8" ht="55.5" customHeight="1">
      <c r="B44" s="282"/>
      <c r="C44" s="36" t="s">
        <v>50</v>
      </c>
      <c r="D44" s="41">
        <v>206.33</v>
      </c>
      <c r="E44" s="41">
        <v>4.5</v>
      </c>
      <c r="F44" s="46">
        <v>2</v>
      </c>
      <c r="G44" s="37" t="s">
        <v>15</v>
      </c>
      <c r="H44" s="15"/>
    </row>
    <row r="45" spans="2:8" ht="55.5" customHeight="1">
      <c r="B45" s="282"/>
      <c r="C45" s="36" t="s">
        <v>51</v>
      </c>
      <c r="D45" s="41">
        <v>58.59</v>
      </c>
      <c r="E45" s="41">
        <v>2.7</v>
      </c>
      <c r="F45" s="46">
        <v>2</v>
      </c>
      <c r="G45" s="37" t="s">
        <v>15</v>
      </c>
      <c r="H45" s="15"/>
    </row>
    <row r="46" spans="2:8" ht="55.5" customHeight="1">
      <c r="B46" s="282"/>
      <c r="C46" s="38" t="s">
        <v>52</v>
      </c>
      <c r="D46" s="41">
        <v>0</v>
      </c>
      <c r="E46" s="42">
        <v>9</v>
      </c>
      <c r="F46" s="47">
        <v>0</v>
      </c>
      <c r="G46" s="37" t="s">
        <v>90</v>
      </c>
      <c r="H46" s="15"/>
    </row>
    <row r="47" spans="2:8" ht="55.5" customHeight="1">
      <c r="B47" s="282"/>
      <c r="C47" s="36" t="s">
        <v>53</v>
      </c>
      <c r="D47" s="41">
        <v>282.56</v>
      </c>
      <c r="E47" s="41">
        <v>2.7</v>
      </c>
      <c r="F47" s="46">
        <v>3</v>
      </c>
      <c r="G47" s="37" t="s">
        <v>15</v>
      </c>
      <c r="H47" s="15"/>
    </row>
    <row r="48" spans="2:8" ht="55.5" customHeight="1">
      <c r="B48" s="282"/>
      <c r="C48" s="36" t="s">
        <v>54</v>
      </c>
      <c r="D48" s="41">
        <v>144.59</v>
      </c>
      <c r="E48" s="41">
        <v>2.7</v>
      </c>
      <c r="F48" s="46">
        <v>1</v>
      </c>
      <c r="G48" s="37" t="s">
        <v>15</v>
      </c>
      <c r="H48" s="15"/>
    </row>
    <row r="49" spans="1:9" ht="55.5" customHeight="1">
      <c r="B49" s="282"/>
      <c r="C49" s="36" t="s">
        <v>55</v>
      </c>
      <c r="D49" s="41">
        <v>141.75</v>
      </c>
      <c r="E49" s="41">
        <v>2.7</v>
      </c>
      <c r="F49" s="46">
        <v>2</v>
      </c>
      <c r="G49" s="37" t="s">
        <v>15</v>
      </c>
      <c r="H49" s="15"/>
    </row>
    <row r="50" spans="1:9" ht="55.5" customHeight="1">
      <c r="B50" s="282"/>
      <c r="C50" s="36" t="s">
        <v>56</v>
      </c>
      <c r="D50" s="41">
        <v>297.2</v>
      </c>
      <c r="E50" s="41">
        <v>2.7</v>
      </c>
      <c r="F50" s="46">
        <v>3</v>
      </c>
      <c r="G50" s="37" t="s">
        <v>15</v>
      </c>
      <c r="H50" s="15"/>
    </row>
    <row r="51" spans="1:9" ht="55.5" customHeight="1">
      <c r="B51" s="282"/>
      <c r="C51" s="38" t="s">
        <v>57</v>
      </c>
      <c r="D51" s="41">
        <v>298.62</v>
      </c>
      <c r="E51" s="41">
        <v>2.7</v>
      </c>
      <c r="F51" s="47">
        <v>3</v>
      </c>
      <c r="G51" s="37" t="s">
        <v>15</v>
      </c>
      <c r="H51" s="15"/>
    </row>
    <row r="52" spans="1:9" ht="55.5" customHeight="1">
      <c r="B52" s="282"/>
      <c r="C52" s="36" t="s">
        <v>58</v>
      </c>
      <c r="D52" s="41">
        <v>0</v>
      </c>
      <c r="E52" s="41">
        <v>2.7</v>
      </c>
      <c r="F52" s="46">
        <v>0</v>
      </c>
      <c r="G52" s="37" t="s">
        <v>90</v>
      </c>
      <c r="H52" s="15"/>
    </row>
    <row r="53" spans="1:9" ht="55.5" customHeight="1">
      <c r="B53" s="282"/>
      <c r="C53" s="36" t="s">
        <v>59</v>
      </c>
      <c r="D53" s="41">
        <v>8183.7</v>
      </c>
      <c r="E53" s="41">
        <v>6</v>
      </c>
      <c r="F53" s="46">
        <v>10</v>
      </c>
      <c r="G53" s="36" t="s">
        <v>60</v>
      </c>
      <c r="H53" s="15"/>
    </row>
    <row r="54" spans="1:9" ht="55.5" customHeight="1">
      <c r="B54" s="16"/>
      <c r="C54" s="36" t="s">
        <v>59</v>
      </c>
      <c r="D54" s="41">
        <v>0</v>
      </c>
      <c r="E54" s="41">
        <v>20</v>
      </c>
      <c r="F54" s="46">
        <v>0</v>
      </c>
      <c r="G54" s="37" t="s">
        <v>90</v>
      </c>
      <c r="H54" s="15"/>
    </row>
    <row r="55" spans="1:9" ht="25.5" customHeight="1">
      <c r="B55" s="17" t="s">
        <v>61</v>
      </c>
      <c r="C55" s="18"/>
      <c r="D55" s="49">
        <f>SUM(D8:D54)</f>
        <v>43529.969999999994</v>
      </c>
      <c r="E55" s="49">
        <f>SUM(E8:E54)</f>
        <v>202.99999999999991</v>
      </c>
      <c r="F55" s="19">
        <f>SUM(F8:F54)</f>
        <v>102</v>
      </c>
      <c r="G55" s="20"/>
      <c r="H55" s="15"/>
    </row>
    <row r="56" spans="1:9" ht="55.5" customHeight="1">
      <c r="B56" s="307" t="s">
        <v>62</v>
      </c>
      <c r="C56" s="36" t="s">
        <v>63</v>
      </c>
      <c r="D56" s="41">
        <v>0</v>
      </c>
      <c r="E56" s="41">
        <v>0</v>
      </c>
      <c r="F56" s="46">
        <v>4</v>
      </c>
      <c r="G56" s="36" t="s">
        <v>64</v>
      </c>
      <c r="H56" s="15"/>
    </row>
    <row r="57" spans="1:9" ht="55.5" customHeight="1">
      <c r="B57" s="307"/>
      <c r="C57" s="36" t="s">
        <v>63</v>
      </c>
      <c r="D57" s="41">
        <v>0</v>
      </c>
      <c r="E57" s="41">
        <v>37</v>
      </c>
      <c r="F57" s="46">
        <v>0</v>
      </c>
      <c r="G57" s="37" t="s">
        <v>90</v>
      </c>
      <c r="H57" s="15"/>
    </row>
    <row r="58" spans="1:9" ht="55.5" customHeight="1">
      <c r="B58" s="307"/>
      <c r="C58" s="36" t="s">
        <v>65</v>
      </c>
      <c r="D58" s="41">
        <v>0</v>
      </c>
      <c r="E58" s="41">
        <v>0</v>
      </c>
      <c r="F58" s="46">
        <v>0</v>
      </c>
      <c r="G58" s="36" t="s">
        <v>64</v>
      </c>
      <c r="H58" s="15"/>
    </row>
    <row r="59" spans="1:9" ht="55.5" customHeight="1">
      <c r="B59" s="307"/>
      <c r="C59" s="36" t="s">
        <v>65</v>
      </c>
      <c r="D59" s="41">
        <v>124</v>
      </c>
      <c r="E59" s="41">
        <v>124</v>
      </c>
      <c r="F59" s="46">
        <v>1</v>
      </c>
      <c r="G59" s="36"/>
      <c r="H59" s="15"/>
      <c r="I59" s="15"/>
    </row>
    <row r="60" spans="1:9" ht="25.5" customHeight="1">
      <c r="B60" s="21" t="s">
        <v>61</v>
      </c>
      <c r="C60" s="23"/>
      <c r="D60" s="49">
        <f>SUM(D56:D59)</f>
        <v>124</v>
      </c>
      <c r="E60" s="49">
        <f>SUM(E56:E59)</f>
        <v>161</v>
      </c>
      <c r="F60" s="51">
        <f>SUM(F56:F59)</f>
        <v>5</v>
      </c>
      <c r="G60" s="20"/>
      <c r="H60" s="22"/>
      <c r="I60" s="15"/>
    </row>
    <row r="61" spans="1:9" ht="31.5" customHeight="1">
      <c r="B61" s="305" t="s">
        <v>66</v>
      </c>
      <c r="C61" s="305"/>
      <c r="D61" s="305"/>
      <c r="E61" s="305"/>
      <c r="F61" s="305"/>
      <c r="G61" s="306"/>
    </row>
    <row r="62" spans="1:9" ht="53.25" customHeight="1">
      <c r="A62" s="8"/>
      <c r="B62" s="13" t="s">
        <v>9</v>
      </c>
      <c r="C62" s="13" t="s">
        <v>67</v>
      </c>
      <c r="D62" s="13" t="s">
        <v>11</v>
      </c>
      <c r="E62" s="13" t="s">
        <v>68</v>
      </c>
      <c r="F62" s="13" t="s">
        <v>2</v>
      </c>
      <c r="G62" s="14" t="s">
        <v>69</v>
      </c>
    </row>
    <row r="63" spans="1:9" ht="33" customHeight="1">
      <c r="B63" s="23" t="s">
        <v>70</v>
      </c>
      <c r="C63" s="24"/>
      <c r="D63" s="41">
        <v>0</v>
      </c>
      <c r="E63" s="43">
        <v>0</v>
      </c>
      <c r="F63" s="25">
        <v>0</v>
      </c>
      <c r="G63" s="37" t="s">
        <v>90</v>
      </c>
    </row>
    <row r="64" spans="1:9" ht="20.100000000000001" customHeight="1">
      <c r="B64" s="27" t="s">
        <v>61</v>
      </c>
      <c r="C64" s="39"/>
      <c r="D64" s="50">
        <f>D63</f>
        <v>0</v>
      </c>
      <c r="E64" s="50">
        <f>E63</f>
        <v>0</v>
      </c>
      <c r="F64" s="52">
        <f>F63</f>
        <v>0</v>
      </c>
      <c r="G64" s="26"/>
    </row>
    <row r="65" spans="2:7" ht="39.9" customHeight="1">
      <c r="B65" s="23" t="s">
        <v>71</v>
      </c>
      <c r="C65" s="36" t="s">
        <v>72</v>
      </c>
      <c r="D65" s="43">
        <v>0</v>
      </c>
      <c r="E65" s="43">
        <v>728.76</v>
      </c>
      <c r="F65" s="25">
        <v>18</v>
      </c>
      <c r="G65" s="25" t="s">
        <v>73</v>
      </c>
    </row>
    <row r="66" spans="2:7" ht="20.100000000000001" customHeight="1">
      <c r="B66" s="27" t="s">
        <v>61</v>
      </c>
      <c r="C66" s="39"/>
      <c r="D66" s="50">
        <f>D65</f>
        <v>0</v>
      </c>
      <c r="E66" s="50">
        <f>E65</f>
        <v>728.76</v>
      </c>
      <c r="F66" s="52">
        <f>F65</f>
        <v>18</v>
      </c>
      <c r="G66" s="26"/>
    </row>
    <row r="67" spans="2:7" ht="39.9" customHeight="1">
      <c r="B67" s="23" t="s">
        <v>71</v>
      </c>
      <c r="C67" s="36" t="s">
        <v>74</v>
      </c>
      <c r="D67" s="41">
        <v>0</v>
      </c>
      <c r="E67" s="41">
        <v>5692.16</v>
      </c>
      <c r="F67" s="25">
        <v>107</v>
      </c>
      <c r="G67" s="25" t="s">
        <v>75</v>
      </c>
    </row>
    <row r="68" spans="2:7" ht="20.100000000000001" customHeight="1">
      <c r="B68" s="27" t="s">
        <v>61</v>
      </c>
      <c r="C68" s="39"/>
      <c r="D68" s="50">
        <f>D67</f>
        <v>0</v>
      </c>
      <c r="E68" s="50">
        <f>E67</f>
        <v>5692.16</v>
      </c>
      <c r="F68" s="52">
        <f>F67</f>
        <v>107</v>
      </c>
      <c r="G68" s="26"/>
    </row>
    <row r="69" spans="2:7" ht="59.4" customHeight="1">
      <c r="B69" s="23" t="s">
        <v>76</v>
      </c>
      <c r="C69" s="36" t="s">
        <v>77</v>
      </c>
      <c r="D69" s="41">
        <v>0</v>
      </c>
      <c r="E69" s="41">
        <v>1108.48</v>
      </c>
      <c r="F69" s="25">
        <v>1</v>
      </c>
      <c r="G69" s="25" t="s">
        <v>78</v>
      </c>
    </row>
    <row r="70" spans="2:7" ht="20.100000000000001" customHeight="1">
      <c r="B70" s="27" t="s">
        <v>61</v>
      </c>
      <c r="C70" s="39"/>
      <c r="D70" s="50">
        <f>D69</f>
        <v>0</v>
      </c>
      <c r="E70" s="50">
        <f>E69</f>
        <v>1108.48</v>
      </c>
      <c r="F70" s="52">
        <f>F69</f>
        <v>1</v>
      </c>
      <c r="G70" s="26"/>
    </row>
    <row r="71" spans="2:7" ht="39.9" customHeight="1">
      <c r="B71" s="23" t="s">
        <v>79</v>
      </c>
      <c r="C71" s="36" t="s">
        <v>80</v>
      </c>
      <c r="D71" s="41">
        <v>5232.47</v>
      </c>
      <c r="E71" s="41">
        <v>20580</v>
      </c>
      <c r="F71" s="25">
        <v>1</v>
      </c>
      <c r="G71" s="25" t="s">
        <v>81</v>
      </c>
    </row>
    <row r="72" spans="2:7" ht="20.100000000000001" customHeight="1">
      <c r="B72" s="27" t="s">
        <v>61</v>
      </c>
      <c r="C72" s="39"/>
      <c r="D72" s="50">
        <f>D71</f>
        <v>5232.47</v>
      </c>
      <c r="E72" s="50">
        <f>E71</f>
        <v>20580</v>
      </c>
      <c r="F72" s="52">
        <f>F71</f>
        <v>1</v>
      </c>
      <c r="G72" s="26"/>
    </row>
    <row r="73" spans="2:7" ht="39.9" customHeight="1">
      <c r="B73" s="23" t="s">
        <v>82</v>
      </c>
      <c r="C73" s="30"/>
      <c r="D73" s="43">
        <v>0</v>
      </c>
      <c r="E73" s="43">
        <v>0</v>
      </c>
      <c r="F73" s="25">
        <v>0</v>
      </c>
      <c r="G73" s="37" t="s">
        <v>90</v>
      </c>
    </row>
    <row r="74" spans="2:7" ht="20.100000000000001" customHeight="1">
      <c r="B74" s="27" t="s">
        <v>61</v>
      </c>
      <c r="C74" s="39"/>
      <c r="D74" s="50">
        <f>D73</f>
        <v>0</v>
      </c>
      <c r="E74" s="50">
        <f>E73</f>
        <v>0</v>
      </c>
      <c r="F74" s="52">
        <f>F73</f>
        <v>0</v>
      </c>
      <c r="G74" s="26"/>
    </row>
    <row r="75" spans="2:7" ht="17.25" customHeight="1">
      <c r="B75" s="304"/>
      <c r="C75" s="304"/>
      <c r="D75" s="304"/>
      <c r="E75" s="304"/>
      <c r="F75" s="304"/>
      <c r="G75" s="304"/>
    </row>
    <row r="76" spans="2:7" ht="33" customHeight="1">
      <c r="B76" s="21" t="s">
        <v>83</v>
      </c>
      <c r="C76" s="28"/>
      <c r="D76" s="45">
        <f>SUM(D74,D72,D70,D68,D66,D64,D60,D55)</f>
        <v>48886.439999999995</v>
      </c>
      <c r="E76" s="45">
        <f>SUM(E74,E72,E70,E68,E66,E64,E60,E55)</f>
        <v>28473.399999999998</v>
      </c>
      <c r="F76" s="53">
        <f>SUM(F74,F72,F70,F68,F66,F64,F60,F55)</f>
        <v>234</v>
      </c>
      <c r="G76" s="26"/>
    </row>
    <row r="77" spans="2:7">
      <c r="B77" s="31"/>
      <c r="C77" s="32"/>
      <c r="D77" s="32"/>
      <c r="E77" s="32"/>
      <c r="F77" s="32"/>
    </row>
    <row r="78" spans="2:7">
      <c r="B78" s="31"/>
      <c r="C78" s="32"/>
      <c r="D78" s="32"/>
      <c r="E78" s="32"/>
      <c r="F78" s="32"/>
    </row>
    <row r="79" spans="2:7">
      <c r="B79" s="33" t="s">
        <v>89</v>
      </c>
    </row>
    <row r="80" spans="2:7">
      <c r="B80" s="33"/>
    </row>
    <row r="81" spans="2:4">
      <c r="B81" s="34" t="s">
        <v>88</v>
      </c>
    </row>
    <row r="82" spans="2:4">
      <c r="B82" s="34" t="s">
        <v>84</v>
      </c>
    </row>
    <row r="83" spans="2:4">
      <c r="B83" s="34" t="s">
        <v>85</v>
      </c>
    </row>
    <row r="84" spans="2:4">
      <c r="B84" s="34" t="s">
        <v>86</v>
      </c>
    </row>
    <row r="85" spans="2:4">
      <c r="B85" s="34" t="s">
        <v>87</v>
      </c>
    </row>
    <row r="86" spans="2:4">
      <c r="B86" s="280"/>
      <c r="C86" s="280"/>
      <c r="D86" s="280"/>
    </row>
    <row r="88" spans="2:4" ht="15.75" customHeight="1"/>
  </sheetData>
  <mergeCells count="8">
    <mergeCell ref="B75:G75"/>
    <mergeCell ref="B86:D86"/>
    <mergeCell ref="B4:G4"/>
    <mergeCell ref="B5:G5"/>
    <mergeCell ref="B6:G6"/>
    <mergeCell ref="B8:B53"/>
    <mergeCell ref="B56:B59"/>
    <mergeCell ref="B61:G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0DED-D72F-4559-8461-87959FC51793}">
  <dimension ref="A1:J74"/>
  <sheetViews>
    <sheetView topLeftCell="A53" workbookViewId="0">
      <selection activeCell="J60" sqref="J60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2:7" ht="30" customHeight="1">
      <c r="B1" s="9" t="s">
        <v>4</v>
      </c>
    </row>
    <row r="2" spans="2:7" ht="25.5" customHeight="1">
      <c r="B2" s="9" t="s">
        <v>5</v>
      </c>
      <c r="D2" s="11"/>
      <c r="E2" s="11"/>
    </row>
    <row r="3" spans="2:7" ht="12.75" customHeight="1">
      <c r="B3" s="9"/>
      <c r="D3" s="11"/>
      <c r="E3" s="11"/>
    </row>
    <row r="4" spans="2:7" ht="32.25" customHeight="1">
      <c r="B4" s="298" t="s">
        <v>91</v>
      </c>
      <c r="C4" s="298"/>
      <c r="D4" s="298"/>
      <c r="E4" s="298"/>
      <c r="F4" s="298"/>
      <c r="G4" s="298"/>
    </row>
    <row r="5" spans="2:7" ht="31.5" customHeight="1">
      <c r="B5" s="298" t="s">
        <v>92</v>
      </c>
      <c r="C5" s="298"/>
      <c r="D5" s="298"/>
      <c r="E5" s="298"/>
      <c r="F5" s="298"/>
      <c r="G5" s="298"/>
    </row>
    <row r="6" spans="2:7" ht="26.25" customHeight="1">
      <c r="B6" s="299" t="s">
        <v>8</v>
      </c>
      <c r="C6" s="299"/>
      <c r="D6" s="299"/>
      <c r="E6" s="299"/>
      <c r="F6" s="299"/>
      <c r="G6" s="299"/>
    </row>
    <row r="7" spans="2:7" ht="55.5" customHeight="1">
      <c r="B7" s="12" t="s">
        <v>9</v>
      </c>
      <c r="C7" s="13" t="s">
        <v>10</v>
      </c>
      <c r="D7" s="13" t="s">
        <v>11</v>
      </c>
      <c r="E7" s="13" t="s">
        <v>12</v>
      </c>
      <c r="F7" s="13" t="s">
        <v>2</v>
      </c>
      <c r="G7" s="14" t="s">
        <v>13</v>
      </c>
    </row>
    <row r="8" spans="2:7" ht="36.75" customHeight="1">
      <c r="B8" s="281" t="s">
        <v>93</v>
      </c>
      <c r="C8" s="54" t="s">
        <v>94</v>
      </c>
      <c r="D8" s="43">
        <v>51.84</v>
      </c>
      <c r="E8" s="63">
        <v>2.7</v>
      </c>
      <c r="F8" s="65">
        <v>1</v>
      </c>
      <c r="G8" s="55"/>
    </row>
    <row r="9" spans="2:7" ht="36.75" customHeight="1">
      <c r="B9" s="282"/>
      <c r="C9" s="54" t="s">
        <v>95</v>
      </c>
      <c r="D9" s="43">
        <v>3910.31</v>
      </c>
      <c r="E9" s="63">
        <v>6.81</v>
      </c>
      <c r="F9" s="65">
        <v>1</v>
      </c>
      <c r="G9" s="55"/>
    </row>
    <row r="10" spans="2:7" ht="36.75" customHeight="1">
      <c r="B10" s="282"/>
      <c r="C10" s="54" t="s">
        <v>96</v>
      </c>
      <c r="D10" s="43">
        <v>67</v>
      </c>
      <c r="E10" s="63">
        <v>2.7</v>
      </c>
      <c r="F10" s="65">
        <v>1</v>
      </c>
      <c r="G10" s="55"/>
    </row>
    <row r="11" spans="2:7" ht="36.75" customHeight="1">
      <c r="B11" s="282"/>
      <c r="C11" s="54" t="s">
        <v>97</v>
      </c>
      <c r="D11" s="43">
        <v>103.84</v>
      </c>
      <c r="E11" s="63">
        <v>4.7699999999999996</v>
      </c>
      <c r="F11" s="65">
        <v>1</v>
      </c>
      <c r="G11" s="55"/>
    </row>
    <row r="12" spans="2:7" ht="29.25" customHeight="1">
      <c r="B12" s="282"/>
      <c r="C12" s="54" t="s">
        <v>98</v>
      </c>
      <c r="D12" s="43">
        <v>412.97</v>
      </c>
      <c r="E12" s="63">
        <v>6.3</v>
      </c>
      <c r="F12" s="65">
        <v>1</v>
      </c>
      <c r="G12" s="20"/>
    </row>
    <row r="13" spans="2:7" ht="29.25" customHeight="1">
      <c r="B13" s="282"/>
      <c r="C13" s="54" t="s">
        <v>99</v>
      </c>
      <c r="D13" s="43">
        <v>1407.3899999999999</v>
      </c>
      <c r="E13" s="63">
        <v>4.7699999999999996</v>
      </c>
      <c r="F13" s="65">
        <v>2</v>
      </c>
      <c r="G13" s="20"/>
    </row>
    <row r="14" spans="2:7" ht="29.25" customHeight="1">
      <c r="B14" s="282"/>
      <c r="C14" s="54" t="s">
        <v>100</v>
      </c>
      <c r="D14" s="43">
        <v>207.02</v>
      </c>
      <c r="E14" s="63">
        <v>4.7699999999999996</v>
      </c>
      <c r="F14" s="65">
        <v>1</v>
      </c>
      <c r="G14" s="20"/>
    </row>
    <row r="15" spans="2:7" ht="29.25" customHeight="1">
      <c r="B15" s="282"/>
      <c r="C15" s="54" t="s">
        <v>101</v>
      </c>
      <c r="D15" s="43">
        <v>661.12</v>
      </c>
      <c r="E15" s="63">
        <v>4.7699999999999996</v>
      </c>
      <c r="F15" s="65">
        <v>1</v>
      </c>
      <c r="G15" s="20"/>
    </row>
    <row r="16" spans="2:7" ht="29.25" customHeight="1">
      <c r="B16" s="282"/>
      <c r="C16" s="54" t="s">
        <v>102</v>
      </c>
      <c r="D16" s="43">
        <v>330.56</v>
      </c>
      <c r="E16" s="63">
        <v>4.7699999999999996</v>
      </c>
      <c r="F16" s="65">
        <v>1</v>
      </c>
      <c r="G16" s="20"/>
    </row>
    <row r="17" spans="2:7" ht="29.25" customHeight="1">
      <c r="B17" s="282"/>
      <c r="C17" s="54" t="s">
        <v>103</v>
      </c>
      <c r="D17" s="43">
        <v>1121.9000000000001</v>
      </c>
      <c r="E17" s="63">
        <v>4.7699999999999996</v>
      </c>
      <c r="F17" s="65">
        <v>3</v>
      </c>
      <c r="G17" s="20"/>
    </row>
    <row r="18" spans="2:7" ht="29.25" customHeight="1">
      <c r="B18" s="282"/>
      <c r="C18" s="54" t="s">
        <v>104</v>
      </c>
      <c r="D18" s="43">
        <v>110.19</v>
      </c>
      <c r="E18" s="63">
        <v>4.7699999999999996</v>
      </c>
      <c r="F18" s="65">
        <v>1</v>
      </c>
      <c r="G18" s="20"/>
    </row>
    <row r="19" spans="2:7" ht="29.25" customHeight="1">
      <c r="B19" s="282"/>
      <c r="C19" s="54" t="s">
        <v>105</v>
      </c>
      <c r="D19" s="43">
        <v>187.11</v>
      </c>
      <c r="E19" s="63">
        <v>4.7699999999999996</v>
      </c>
      <c r="F19" s="65">
        <v>1</v>
      </c>
      <c r="G19" s="20"/>
    </row>
    <row r="20" spans="2:7" ht="29.25" customHeight="1">
      <c r="B20" s="282"/>
      <c r="C20" s="54" t="s">
        <v>106</v>
      </c>
      <c r="D20" s="43">
        <v>826.4</v>
      </c>
      <c r="E20" s="63">
        <v>2.7</v>
      </c>
      <c r="F20" s="65">
        <v>1</v>
      </c>
      <c r="G20" s="20"/>
    </row>
    <row r="21" spans="2:7" ht="29.25" customHeight="1">
      <c r="B21" s="282"/>
      <c r="C21" s="54" t="s">
        <v>107</v>
      </c>
      <c r="D21" s="43">
        <v>12.96</v>
      </c>
      <c r="E21" s="63">
        <v>2.7</v>
      </c>
      <c r="F21" s="65">
        <v>1</v>
      </c>
      <c r="G21" s="20"/>
    </row>
    <row r="22" spans="2:7" ht="29.25" customHeight="1">
      <c r="B22" s="282"/>
      <c r="C22" s="54" t="s">
        <v>108</v>
      </c>
      <c r="D22" s="43">
        <v>51.84</v>
      </c>
      <c r="E22" s="63">
        <v>2.7</v>
      </c>
      <c r="F22" s="65">
        <v>1</v>
      </c>
      <c r="G22" s="20"/>
    </row>
    <row r="23" spans="2:7" ht="29.25" customHeight="1">
      <c r="B23" s="282"/>
      <c r="C23" s="54" t="s">
        <v>109</v>
      </c>
      <c r="D23" s="43">
        <v>1148.8499999999999</v>
      </c>
      <c r="E23" s="63">
        <v>4.7699999999999996</v>
      </c>
      <c r="F23" s="65">
        <v>2</v>
      </c>
      <c r="G23" s="20"/>
    </row>
    <row r="24" spans="2:7" ht="29.25" customHeight="1">
      <c r="B24" s="282"/>
      <c r="C24" s="54" t="s">
        <v>110</v>
      </c>
      <c r="D24" s="43">
        <v>162.54000000000002</v>
      </c>
      <c r="E24" s="63">
        <v>4.7699999999999996</v>
      </c>
      <c r="F24" s="65">
        <v>2</v>
      </c>
      <c r="G24" s="20"/>
    </row>
    <row r="25" spans="2:7" ht="29.25" customHeight="1">
      <c r="B25" s="282"/>
      <c r="C25" s="54" t="s">
        <v>111</v>
      </c>
      <c r="D25" s="43">
        <v>100.17</v>
      </c>
      <c r="E25" s="63">
        <v>4.7699999999999996</v>
      </c>
      <c r="F25" s="65">
        <v>1</v>
      </c>
      <c r="G25" s="20"/>
    </row>
    <row r="26" spans="2:7" ht="29.25" customHeight="1">
      <c r="B26" s="282"/>
      <c r="C26" s="54" t="s">
        <v>112</v>
      </c>
      <c r="D26" s="43">
        <v>417.38</v>
      </c>
      <c r="E26" s="63">
        <v>4.7699999999999996</v>
      </c>
      <c r="F26" s="65">
        <v>2</v>
      </c>
      <c r="G26" s="20"/>
    </row>
    <row r="27" spans="2:7" ht="49.5" customHeight="1">
      <c r="B27" s="282"/>
      <c r="C27" s="54" t="s">
        <v>113</v>
      </c>
      <c r="D27" s="43">
        <v>67</v>
      </c>
      <c r="E27" s="63">
        <v>2.7</v>
      </c>
      <c r="F27" s="65">
        <v>1</v>
      </c>
      <c r="G27" s="20"/>
    </row>
    <row r="28" spans="2:7" ht="29.25" customHeight="1">
      <c r="B28" s="282"/>
      <c r="C28" s="54" t="s">
        <v>114</v>
      </c>
      <c r="D28" s="43">
        <v>72.97</v>
      </c>
      <c r="E28" s="63">
        <v>2.7</v>
      </c>
      <c r="F28" s="65">
        <v>1</v>
      </c>
      <c r="G28" s="20"/>
    </row>
    <row r="29" spans="2:7" ht="29.25" customHeight="1">
      <c r="B29" s="282"/>
      <c r="C29" s="54" t="s">
        <v>115</v>
      </c>
      <c r="D29" s="43">
        <v>367.29</v>
      </c>
      <c r="E29" s="63">
        <v>4.7699999999999996</v>
      </c>
      <c r="F29" s="65">
        <v>2</v>
      </c>
      <c r="G29" s="20"/>
    </row>
    <row r="30" spans="2:7" ht="51" customHeight="1">
      <c r="B30" s="282"/>
      <c r="C30" s="54" t="s">
        <v>116</v>
      </c>
      <c r="D30" s="43">
        <v>1228.51</v>
      </c>
      <c r="E30" s="63">
        <v>4.7699999999999996</v>
      </c>
      <c r="F30" s="65">
        <v>2</v>
      </c>
      <c r="G30" s="20"/>
    </row>
    <row r="31" spans="2:7" ht="51.75" customHeight="1">
      <c r="B31" s="282"/>
      <c r="C31" s="54" t="s">
        <v>117</v>
      </c>
      <c r="D31" s="43">
        <v>234.36</v>
      </c>
      <c r="E31" s="63">
        <v>4.7699999999999996</v>
      </c>
      <c r="F31" s="65">
        <v>1</v>
      </c>
      <c r="G31" s="20"/>
    </row>
    <row r="32" spans="2:7" ht="45" customHeight="1">
      <c r="B32" s="282"/>
      <c r="C32" s="54" t="s">
        <v>118</v>
      </c>
      <c r="D32" s="43">
        <v>388.8</v>
      </c>
      <c r="E32" s="63">
        <v>2.7</v>
      </c>
      <c r="F32" s="65">
        <v>1</v>
      </c>
      <c r="G32" s="20"/>
    </row>
    <row r="33" spans="2:10" ht="48" customHeight="1">
      <c r="B33" s="282"/>
      <c r="C33" s="54" t="s">
        <v>119</v>
      </c>
      <c r="D33" s="43">
        <v>729.81</v>
      </c>
      <c r="E33" s="63">
        <v>4.7699999999999996</v>
      </c>
      <c r="F33" s="65">
        <v>1</v>
      </c>
      <c r="G33" s="20"/>
    </row>
    <row r="34" spans="2:10" ht="44.25" customHeight="1">
      <c r="B34" s="282"/>
      <c r="C34" s="54" t="s">
        <v>120</v>
      </c>
      <c r="D34" s="43">
        <v>827.12</v>
      </c>
      <c r="E34" s="63">
        <v>4.7699999999999996</v>
      </c>
      <c r="F34" s="65">
        <v>1</v>
      </c>
      <c r="G34" s="20"/>
    </row>
    <row r="35" spans="2:10" ht="29.25" customHeight="1">
      <c r="B35" s="282"/>
      <c r="C35" s="54" t="s">
        <v>121</v>
      </c>
      <c r="D35" s="43">
        <v>743.76</v>
      </c>
      <c r="E35" s="63">
        <v>4.7699999999999996</v>
      </c>
      <c r="F35" s="65">
        <v>1</v>
      </c>
      <c r="G35" s="20"/>
    </row>
    <row r="36" spans="2:10" ht="54.75" customHeight="1">
      <c r="B36" s="282"/>
      <c r="C36" s="54" t="s">
        <v>122</v>
      </c>
      <c r="D36" s="43">
        <v>187.11</v>
      </c>
      <c r="E36" s="63">
        <v>2.7</v>
      </c>
      <c r="F36" s="65">
        <v>1</v>
      </c>
      <c r="G36" s="20"/>
    </row>
    <row r="37" spans="2:10" ht="66.75" customHeight="1">
      <c r="B37" s="282"/>
      <c r="C37" s="54" t="s">
        <v>123</v>
      </c>
      <c r="D37" s="43">
        <v>187.11</v>
      </c>
      <c r="E37" s="63">
        <v>2.7</v>
      </c>
      <c r="F37" s="65">
        <v>1</v>
      </c>
      <c r="G37" s="20"/>
    </row>
    <row r="38" spans="2:10" ht="52.5" customHeight="1">
      <c r="B38" s="282"/>
      <c r="C38" s="54" t="s">
        <v>124</v>
      </c>
      <c r="D38" s="43">
        <v>623.70000000000005</v>
      </c>
      <c r="E38" s="63">
        <v>2.7</v>
      </c>
      <c r="F38" s="65">
        <v>1</v>
      </c>
      <c r="G38" s="20"/>
    </row>
    <row r="39" spans="2:10" ht="29.25" customHeight="1">
      <c r="B39" s="282"/>
      <c r="C39" s="54" t="s">
        <v>125</v>
      </c>
      <c r="D39" s="43">
        <v>263.66000000000003</v>
      </c>
      <c r="E39" s="63">
        <v>2.7</v>
      </c>
      <c r="F39" s="65">
        <v>1</v>
      </c>
      <c r="G39" s="20"/>
    </row>
    <row r="40" spans="2:10" ht="42.75" customHeight="1">
      <c r="B40" s="282"/>
      <c r="C40" s="54" t="s">
        <v>126</v>
      </c>
      <c r="D40" s="43">
        <v>87.89</v>
      </c>
      <c r="E40" s="63">
        <v>2.7</v>
      </c>
      <c r="F40" s="65">
        <v>1</v>
      </c>
      <c r="G40" s="20"/>
    </row>
    <row r="41" spans="2:10" ht="29.25" customHeight="1">
      <c r="B41" s="282"/>
      <c r="C41" s="54" t="s">
        <v>127</v>
      </c>
      <c r="D41" s="43">
        <v>72.97</v>
      </c>
      <c r="E41" s="63">
        <v>2.7</v>
      </c>
      <c r="F41" s="65">
        <v>1</v>
      </c>
      <c r="G41" s="20"/>
    </row>
    <row r="42" spans="2:10" ht="29.25" customHeight="1">
      <c r="B42" s="282"/>
      <c r="C42" s="54" t="s">
        <v>128</v>
      </c>
      <c r="D42" s="43">
        <v>117.18</v>
      </c>
      <c r="E42" s="63">
        <v>4.7699999999999996</v>
      </c>
      <c r="F42" s="65">
        <v>1</v>
      </c>
      <c r="G42" s="20"/>
    </row>
    <row r="43" spans="2:10" ht="39" customHeight="1">
      <c r="B43" s="282"/>
      <c r="C43" s="54" t="s">
        <v>129</v>
      </c>
      <c r="D43" s="43">
        <v>117.18</v>
      </c>
      <c r="E43" s="63">
        <v>4.7699999999999996</v>
      </c>
      <c r="F43" s="65">
        <v>1</v>
      </c>
      <c r="G43" s="20"/>
    </row>
    <row r="44" spans="2:10" ht="29.25" customHeight="1">
      <c r="B44" s="283"/>
      <c r="C44" s="54" t="s">
        <v>130</v>
      </c>
      <c r="D44" s="43">
        <v>113.4</v>
      </c>
      <c r="E44" s="63">
        <v>2.7</v>
      </c>
      <c r="F44" s="65">
        <v>1</v>
      </c>
      <c r="G44" s="20"/>
    </row>
    <row r="45" spans="2:10" ht="25.5" customHeight="1">
      <c r="B45" s="17" t="s">
        <v>61</v>
      </c>
      <c r="C45" s="18"/>
      <c r="D45" s="56">
        <f>SUM(D8:D44)</f>
        <v>17721.210000000006</v>
      </c>
      <c r="E45" s="56">
        <f>SUM(E8:E44)</f>
        <v>149.00999999999993</v>
      </c>
      <c r="F45" s="57">
        <f>SUM(F8:F44)</f>
        <v>45</v>
      </c>
      <c r="G45" s="20"/>
    </row>
    <row r="46" spans="2:10" ht="45" customHeight="1">
      <c r="B46" s="307" t="s">
        <v>62</v>
      </c>
      <c r="C46" s="18" t="s">
        <v>131</v>
      </c>
      <c r="D46" s="43">
        <v>36.159999999999997</v>
      </c>
      <c r="E46" s="63">
        <v>25</v>
      </c>
      <c r="F46" s="65">
        <v>1</v>
      </c>
      <c r="G46" s="58" t="s">
        <v>132</v>
      </c>
    </row>
    <row r="47" spans="2:10" ht="25.5" customHeight="1">
      <c r="B47" s="307"/>
      <c r="C47" s="54"/>
      <c r="D47" s="64"/>
      <c r="E47" s="59"/>
      <c r="F47" s="60"/>
      <c r="G47" s="20"/>
      <c r="H47" s="15"/>
      <c r="I47" s="15"/>
      <c r="J47" s="15"/>
    </row>
    <row r="48" spans="2:10" ht="25.5" customHeight="1">
      <c r="B48" s="21" t="s">
        <v>61</v>
      </c>
      <c r="C48" s="21"/>
      <c r="D48" s="56">
        <f>SUM(D46:D47)</f>
        <v>36.159999999999997</v>
      </c>
      <c r="E48" s="56">
        <f>SUM(E46:E47)</f>
        <v>25</v>
      </c>
      <c r="F48" s="19">
        <f>SUM(F46:F47)</f>
        <v>1</v>
      </c>
      <c r="G48" s="20"/>
      <c r="H48" s="15"/>
      <c r="I48" s="15"/>
      <c r="J48" s="15"/>
    </row>
    <row r="49" spans="1:7" ht="31.5" customHeight="1">
      <c r="B49" s="305" t="s">
        <v>66</v>
      </c>
      <c r="C49" s="305"/>
      <c r="D49" s="305"/>
      <c r="E49" s="305"/>
      <c r="F49" s="305"/>
      <c r="G49" s="306"/>
    </row>
    <row r="50" spans="1:7" ht="53.25" customHeight="1">
      <c r="A50" s="8"/>
      <c r="B50" s="13" t="s">
        <v>9</v>
      </c>
      <c r="C50" s="13" t="s">
        <v>67</v>
      </c>
      <c r="D50" s="13" t="s">
        <v>11</v>
      </c>
      <c r="E50" s="13" t="s">
        <v>68</v>
      </c>
      <c r="F50" s="13" t="s">
        <v>2</v>
      </c>
      <c r="G50" s="14" t="s">
        <v>69</v>
      </c>
    </row>
    <row r="51" spans="1:7" ht="33" customHeight="1">
      <c r="B51" s="23" t="s">
        <v>70</v>
      </c>
      <c r="C51" s="24"/>
      <c r="D51" s="43">
        <v>0</v>
      </c>
      <c r="E51" s="43">
        <v>0</v>
      </c>
      <c r="F51" s="25">
        <v>0</v>
      </c>
      <c r="G51" s="37" t="s">
        <v>90</v>
      </c>
    </row>
    <row r="52" spans="1:7" ht="24.75" customHeight="1">
      <c r="B52" s="27" t="s">
        <v>61</v>
      </c>
      <c r="C52" s="28"/>
      <c r="D52" s="50">
        <f>SUM(D51)</f>
        <v>0</v>
      </c>
      <c r="E52" s="50">
        <f>SUM(E51)</f>
        <v>0</v>
      </c>
      <c r="F52" s="66">
        <f>SUM(F51)</f>
        <v>0</v>
      </c>
      <c r="G52" s="26"/>
    </row>
    <row r="53" spans="1:7" ht="28.5" customHeight="1">
      <c r="B53" s="23" t="s">
        <v>71</v>
      </c>
      <c r="C53" s="24"/>
      <c r="D53" s="43">
        <v>0</v>
      </c>
      <c r="E53" s="43">
        <v>0</v>
      </c>
      <c r="F53" s="25">
        <v>0</v>
      </c>
      <c r="G53" s="37" t="s">
        <v>90</v>
      </c>
    </row>
    <row r="54" spans="1:7" ht="29.25" customHeight="1">
      <c r="B54" s="27" t="s">
        <v>61</v>
      </c>
      <c r="C54" s="28"/>
      <c r="D54" s="50">
        <f>SUM(D53)</f>
        <v>0</v>
      </c>
      <c r="E54" s="50">
        <f>SUM(E53)</f>
        <v>0</v>
      </c>
      <c r="F54" s="66">
        <f>SUM(F53)</f>
        <v>0</v>
      </c>
      <c r="G54" s="26"/>
    </row>
    <row r="55" spans="1:7" ht="24" customHeight="1">
      <c r="B55" s="23" t="s">
        <v>76</v>
      </c>
      <c r="C55" s="24"/>
      <c r="D55" s="43">
        <v>0</v>
      </c>
      <c r="E55" s="43">
        <v>0</v>
      </c>
      <c r="F55" s="25">
        <v>0</v>
      </c>
      <c r="G55" s="37" t="s">
        <v>90</v>
      </c>
    </row>
    <row r="56" spans="1:7" ht="27" customHeight="1">
      <c r="B56" s="27" t="s">
        <v>61</v>
      </c>
      <c r="C56" s="28"/>
      <c r="D56" s="50">
        <f>SUM(D55)</f>
        <v>0</v>
      </c>
      <c r="E56" s="50">
        <f>SUM(E55)</f>
        <v>0</v>
      </c>
      <c r="F56" s="66">
        <f>SUM(F55)</f>
        <v>0</v>
      </c>
      <c r="G56" s="26"/>
    </row>
    <row r="57" spans="1:7" ht="27" customHeight="1">
      <c r="B57" s="23" t="s">
        <v>79</v>
      </c>
      <c r="C57" s="28"/>
      <c r="D57" s="44">
        <v>0</v>
      </c>
      <c r="E57" s="44">
        <v>0</v>
      </c>
      <c r="F57" s="40">
        <v>0</v>
      </c>
      <c r="G57" s="37" t="s">
        <v>90</v>
      </c>
    </row>
    <row r="58" spans="1:7" ht="16.5" customHeight="1">
      <c r="B58" s="27" t="s">
        <v>61</v>
      </c>
      <c r="C58" s="28"/>
      <c r="D58" s="50">
        <f>SUM(D57)</f>
        <v>0</v>
      </c>
      <c r="E58" s="50">
        <f>SUM(E57)</f>
        <v>0</v>
      </c>
      <c r="F58" s="66">
        <f>SUM(F57)</f>
        <v>0</v>
      </c>
      <c r="G58" s="26"/>
    </row>
    <row r="59" spans="1:7" ht="30.75" customHeight="1">
      <c r="B59" s="23" t="s">
        <v>82</v>
      </c>
      <c r="C59" s="30"/>
      <c r="D59" s="43">
        <v>0</v>
      </c>
      <c r="E59" s="43">
        <v>0</v>
      </c>
      <c r="F59" s="25">
        <v>0</v>
      </c>
      <c r="G59" s="37" t="s">
        <v>90</v>
      </c>
    </row>
    <row r="60" spans="1:7" ht="15.6">
      <c r="B60" s="27" t="s">
        <v>61</v>
      </c>
      <c r="C60" s="28"/>
      <c r="D60" s="50">
        <f>SUM(D59)</f>
        <v>0</v>
      </c>
      <c r="E60" s="50">
        <f>SUM(E59)</f>
        <v>0</v>
      </c>
      <c r="F60" s="66">
        <f>SUM(F59)</f>
        <v>0</v>
      </c>
      <c r="G60" s="26"/>
    </row>
    <row r="61" spans="1:7" ht="17.25" customHeight="1">
      <c r="B61" s="304"/>
      <c r="C61" s="304"/>
      <c r="D61" s="304"/>
      <c r="E61" s="304"/>
      <c r="F61" s="304"/>
      <c r="G61" s="304"/>
    </row>
    <row r="62" spans="1:7" ht="33" customHeight="1">
      <c r="B62" s="21" t="s">
        <v>83</v>
      </c>
      <c r="C62" s="28"/>
      <c r="D62" s="61">
        <f>D45+D48+D52+D54+D56+D58+D60</f>
        <v>17757.370000000006</v>
      </c>
      <c r="E62" s="61">
        <f>E45+E48+E52+E54+E56+E58+E60</f>
        <v>174.00999999999993</v>
      </c>
      <c r="F62" s="62">
        <f>F45+F48+F52+F54+F56+F58+F60</f>
        <v>46</v>
      </c>
      <c r="G62" s="26"/>
    </row>
    <row r="63" spans="1:7">
      <c r="B63" s="31"/>
      <c r="C63" s="32"/>
      <c r="D63" s="32"/>
      <c r="E63" s="32"/>
      <c r="F63" s="32"/>
    </row>
    <row r="64" spans="1:7">
      <c r="B64" s="31"/>
      <c r="C64" s="32"/>
      <c r="D64" s="32"/>
      <c r="E64" s="32"/>
      <c r="F64" s="32"/>
    </row>
    <row r="65" spans="2:4">
      <c r="B65" s="33" t="s">
        <v>138</v>
      </c>
    </row>
    <row r="66" spans="2:4">
      <c r="B66" s="33"/>
    </row>
    <row r="67" spans="2:4">
      <c r="B67" s="34" t="s">
        <v>139</v>
      </c>
    </row>
    <row r="68" spans="2:4">
      <c r="B68" s="34" t="s">
        <v>135</v>
      </c>
    </row>
    <row r="69" spans="2:4">
      <c r="B69" s="34" t="s">
        <v>136</v>
      </c>
    </row>
    <row r="70" spans="2:4">
      <c r="B70" s="35"/>
    </row>
    <row r="71" spans="2:4">
      <c r="B71" t="s">
        <v>137</v>
      </c>
    </row>
    <row r="72" spans="2:4">
      <c r="B72" s="280"/>
      <c r="C72" s="280"/>
      <c r="D72" s="280"/>
    </row>
    <row r="74" spans="2:4" ht="15.75" customHeight="1"/>
  </sheetData>
  <mergeCells count="8">
    <mergeCell ref="B61:G61"/>
    <mergeCell ref="B72:D72"/>
    <mergeCell ref="B4:G4"/>
    <mergeCell ref="B5:G5"/>
    <mergeCell ref="B6:G6"/>
    <mergeCell ref="B8:B44"/>
    <mergeCell ref="B46:B47"/>
    <mergeCell ref="B49:G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70A1-82F8-4962-B1EB-2E93BB335056}">
  <dimension ref="A1:J74"/>
  <sheetViews>
    <sheetView topLeftCell="A59" workbookViewId="0">
      <selection activeCell="C43" sqref="C43"/>
    </sheetView>
  </sheetViews>
  <sheetFormatPr defaultColWidth="9.44140625" defaultRowHeight="14.4"/>
  <cols>
    <col min="1" max="1" width="3.44140625" customWidth="1"/>
    <col min="2" max="2" width="45.44140625" customWidth="1"/>
    <col min="3" max="3" width="32.5546875" customWidth="1"/>
    <col min="4" max="4" width="16.5546875" customWidth="1"/>
    <col min="5" max="5" width="24.5546875" customWidth="1"/>
    <col min="6" max="6" width="15.44140625" customWidth="1"/>
    <col min="7" max="7" width="34.44140625" customWidth="1"/>
  </cols>
  <sheetData>
    <row r="1" spans="2:7" ht="30" customHeight="1">
      <c r="B1" s="67" t="s">
        <v>4</v>
      </c>
    </row>
    <row r="2" spans="2:7" ht="25.5" customHeight="1">
      <c r="B2" s="67" t="s">
        <v>5</v>
      </c>
      <c r="D2" s="68"/>
    </row>
    <row r="3" spans="2:7" ht="12.75" customHeight="1">
      <c r="B3" s="67"/>
    </row>
    <row r="4" spans="2:7" ht="32.25" customHeight="1">
      <c r="B4" s="298" t="s">
        <v>91</v>
      </c>
      <c r="C4" s="298"/>
      <c r="D4" s="298"/>
      <c r="E4" s="298"/>
      <c r="F4" s="298"/>
      <c r="G4" s="298"/>
    </row>
    <row r="5" spans="2:7" ht="31.5" customHeight="1">
      <c r="B5" s="308" t="s">
        <v>140</v>
      </c>
      <c r="C5" s="308"/>
      <c r="D5" s="308"/>
      <c r="E5" s="308"/>
      <c r="F5" s="308"/>
      <c r="G5" s="308"/>
    </row>
    <row r="6" spans="2:7" ht="26.25" customHeight="1">
      <c r="B6" s="309" t="s">
        <v>8</v>
      </c>
      <c r="C6" s="309"/>
      <c r="D6" s="309"/>
      <c r="E6" s="309"/>
      <c r="F6" s="309"/>
      <c r="G6" s="309"/>
    </row>
    <row r="7" spans="2:7" ht="60.75" customHeight="1" thickBot="1">
      <c r="B7" s="69" t="s">
        <v>9</v>
      </c>
      <c r="C7" s="70" t="s">
        <v>10</v>
      </c>
      <c r="D7" s="70" t="s">
        <v>11</v>
      </c>
      <c r="E7" s="70" t="s">
        <v>12</v>
      </c>
      <c r="F7" s="70" t="s">
        <v>2</v>
      </c>
      <c r="G7" s="71" t="s">
        <v>13</v>
      </c>
    </row>
    <row r="8" spans="2:7" ht="74.25" customHeight="1" thickBot="1">
      <c r="B8" s="310"/>
      <c r="C8" s="72" t="s">
        <v>141</v>
      </c>
      <c r="D8" s="124">
        <f>619.92+80.64+129.6+259.2+1446.48+188.16+302.4+604.8</f>
        <v>3631.2</v>
      </c>
      <c r="E8" s="124">
        <v>4.8</v>
      </c>
      <c r="F8" s="73">
        <v>4</v>
      </c>
      <c r="G8" s="74"/>
    </row>
    <row r="9" spans="2:7" ht="56.25" customHeight="1" thickBot="1">
      <c r="B9" s="310"/>
      <c r="C9" s="72" t="s">
        <v>142</v>
      </c>
      <c r="D9" s="125">
        <f>255.6+1006.2+201.6+190.08+144.54+146.88+403.2+376.32+510+85.86+280.32+2002.2</f>
        <v>5602.8</v>
      </c>
      <c r="E9" s="124">
        <v>4.8</v>
      </c>
      <c r="F9" s="75">
        <v>6</v>
      </c>
      <c r="G9" s="74"/>
    </row>
    <row r="10" spans="2:7" ht="69.75" customHeight="1" thickBot="1">
      <c r="B10" s="310"/>
      <c r="C10" s="72" t="s">
        <v>143</v>
      </c>
      <c r="D10" s="125">
        <f>364.32+850.08</f>
        <v>1214.4000000000001</v>
      </c>
      <c r="E10" s="124">
        <v>3.3</v>
      </c>
      <c r="F10" s="75">
        <v>1</v>
      </c>
      <c r="G10" s="74"/>
    </row>
    <row r="11" spans="2:7" ht="51.75" customHeight="1" thickBot="1">
      <c r="B11" s="310"/>
      <c r="C11" s="311" t="s">
        <v>144</v>
      </c>
      <c r="D11" s="126">
        <f>365.41+231.66+204.93+43.31+67.32+478.17+852.62+540.54+101.06+157.08</f>
        <v>3042.1</v>
      </c>
      <c r="E11" s="127">
        <v>3.3</v>
      </c>
      <c r="F11" s="76">
        <v>5</v>
      </c>
      <c r="G11" s="77"/>
    </row>
    <row r="12" spans="2:7" ht="47.25" customHeight="1" thickBot="1">
      <c r="B12" s="310"/>
      <c r="C12" s="311"/>
      <c r="D12" s="128">
        <f>223.65+61.74+17.64+521.85+79.71</f>
        <v>904.59</v>
      </c>
      <c r="E12" s="129">
        <v>2.1</v>
      </c>
      <c r="F12" s="78">
        <v>2</v>
      </c>
      <c r="G12" s="79"/>
    </row>
    <row r="13" spans="2:7" ht="60.75" customHeight="1" thickBot="1">
      <c r="B13" s="310"/>
      <c r="C13" s="72" t="s">
        <v>145</v>
      </c>
      <c r="D13" s="125">
        <f>100.98+30.69+39.6+43.07+235.62+53.97+92.4+100.49</f>
        <v>696.82</v>
      </c>
      <c r="E13" s="124">
        <v>3.3</v>
      </c>
      <c r="F13" s="75">
        <v>4</v>
      </c>
      <c r="G13" s="74"/>
    </row>
    <row r="14" spans="2:7" ht="45.75" customHeight="1" thickBot="1">
      <c r="B14" s="310"/>
      <c r="C14" s="80" t="s">
        <v>146</v>
      </c>
      <c r="D14" s="130">
        <f>40.84+94.05+95.29+219.45</f>
        <v>449.63</v>
      </c>
      <c r="E14" s="124">
        <v>2.1</v>
      </c>
      <c r="F14" s="75">
        <v>2</v>
      </c>
      <c r="G14" s="74"/>
    </row>
    <row r="15" spans="2:7" ht="57.75" customHeight="1" thickBot="1">
      <c r="B15" s="310"/>
      <c r="C15" s="72" t="s">
        <v>147</v>
      </c>
      <c r="D15" s="125">
        <f>679.89+71.61+785.4+147.84+10.09+262.76+107.42</f>
        <v>2065.0099999999998</v>
      </c>
      <c r="E15" s="124">
        <v>3.3</v>
      </c>
      <c r="F15" s="75">
        <v>6</v>
      </c>
      <c r="G15" s="74"/>
    </row>
    <row r="16" spans="2:7" ht="36" customHeight="1" thickBot="1">
      <c r="B16" s="310"/>
      <c r="C16" s="312" t="s">
        <v>148</v>
      </c>
      <c r="D16" s="126">
        <f>28.35+25.7+59.98</f>
        <v>114.03</v>
      </c>
      <c r="E16" s="127">
        <v>2.1</v>
      </c>
      <c r="F16" s="76">
        <v>1</v>
      </c>
      <c r="G16" s="81"/>
    </row>
    <row r="17" spans="2:7" ht="31.5" customHeight="1" thickBot="1">
      <c r="B17" s="310"/>
      <c r="C17" s="312"/>
      <c r="D17" s="128">
        <f>198.45+81.38</f>
        <v>279.83</v>
      </c>
      <c r="E17" s="129">
        <v>7</v>
      </c>
      <c r="F17" s="78">
        <v>2</v>
      </c>
      <c r="G17" s="79"/>
    </row>
    <row r="18" spans="2:7" ht="47.25" customHeight="1" thickBot="1">
      <c r="B18" s="310"/>
      <c r="C18" s="312" t="s">
        <v>149</v>
      </c>
      <c r="D18" s="126">
        <f>31.19+75.24+84.36+72.77</f>
        <v>263.56</v>
      </c>
      <c r="E18" s="127">
        <v>2.1</v>
      </c>
      <c r="F18" s="76">
        <v>2</v>
      </c>
      <c r="G18" s="81"/>
    </row>
    <row r="19" spans="2:7" ht="45.75" customHeight="1" thickBot="1">
      <c r="B19" s="310"/>
      <c r="C19" s="312"/>
      <c r="D19" s="131">
        <f>75.24+175.56</f>
        <v>250.8</v>
      </c>
      <c r="E19" s="132">
        <v>3.3</v>
      </c>
      <c r="F19" s="82">
        <v>1</v>
      </c>
      <c r="G19" s="83"/>
    </row>
    <row r="20" spans="2:7" ht="34.5" customHeight="1">
      <c r="B20" s="310"/>
      <c r="C20" s="313" t="s">
        <v>150</v>
      </c>
      <c r="D20" s="133">
        <f>130.68+35.28+18.27+311.85+403.43+343.04+24.42+382.14+45.05+34.65+39.6+891.66+105.11+727.65+92.4+941.33+800.42+80.85+42.63+82.32</f>
        <v>5532.7800000000007</v>
      </c>
      <c r="E20" s="134">
        <v>3.3</v>
      </c>
      <c r="F20" s="85">
        <v>10</v>
      </c>
      <c r="G20" s="77"/>
    </row>
    <row r="21" spans="2:7" ht="36.75" customHeight="1">
      <c r="B21" s="310"/>
      <c r="C21" s="313"/>
      <c r="D21" s="133">
        <f>50.65+45.68+118.19+86.62</f>
        <v>301.14</v>
      </c>
      <c r="E21" s="135">
        <v>2.1</v>
      </c>
      <c r="F21" s="86">
        <v>2</v>
      </c>
      <c r="G21" s="87"/>
    </row>
    <row r="22" spans="2:7" ht="36.75" customHeight="1" thickBot="1">
      <c r="B22" s="310"/>
      <c r="C22" s="313"/>
      <c r="D22" s="136">
        <v>81.38</v>
      </c>
      <c r="E22" s="134">
        <v>7</v>
      </c>
      <c r="F22" s="88">
        <v>0</v>
      </c>
      <c r="G22" s="89"/>
    </row>
    <row r="23" spans="2:7" ht="63" customHeight="1" thickBot="1">
      <c r="B23" s="310"/>
      <c r="C23" s="72" t="s">
        <v>151</v>
      </c>
      <c r="D23" s="125">
        <f>379.17+92.07+49+138.6+270.27+46.04+550.44+199.74+64.35+16.34+47.52+26.24+884.73+323.4+630.63+214.83+107.42+1284.36+114.35+466.04+61.22+38.12+110.88</f>
        <v>6115.7600000000011</v>
      </c>
      <c r="E23" s="124">
        <v>3.3</v>
      </c>
      <c r="F23" s="75">
        <v>11</v>
      </c>
      <c r="G23" s="74"/>
    </row>
    <row r="24" spans="2:7" ht="57" customHeight="1" thickBot="1">
      <c r="B24" s="310"/>
      <c r="C24" s="90" t="s">
        <v>152</v>
      </c>
      <c r="D24" s="128">
        <f>551.52+149.76+943.92+440.64+86.4+46.08+107.52+1028.16+1286.88</f>
        <v>4640.88</v>
      </c>
      <c r="E24" s="129">
        <v>4.8</v>
      </c>
      <c r="F24" s="78">
        <v>6</v>
      </c>
      <c r="G24" s="77"/>
    </row>
    <row r="25" spans="2:7" ht="44.25" customHeight="1" thickBot="1">
      <c r="B25" s="310"/>
      <c r="C25" s="312" t="s">
        <v>153</v>
      </c>
      <c r="D25" s="133">
        <f>28.71+147.02+59.4+344.03+66.99+343.04+802.73+138.6</f>
        <v>1930.52</v>
      </c>
      <c r="E25" s="137">
        <v>3.3</v>
      </c>
      <c r="F25" s="91">
        <v>4</v>
      </c>
      <c r="G25" s="81"/>
    </row>
    <row r="26" spans="2:7" ht="39.75" customHeight="1" thickBot="1">
      <c r="B26" s="310"/>
      <c r="C26" s="312"/>
      <c r="D26" s="128">
        <f>27.41+57.65+63.94+134.5</f>
        <v>283.5</v>
      </c>
      <c r="E26" s="129">
        <v>2.1</v>
      </c>
      <c r="F26" s="78">
        <v>2</v>
      </c>
      <c r="G26" s="79"/>
    </row>
    <row r="27" spans="2:7" ht="73.5" customHeight="1" thickBot="1">
      <c r="B27" s="310"/>
      <c r="C27" s="72" t="s">
        <v>154</v>
      </c>
      <c r="D27" s="125">
        <f>17.64+88.2+24.95+43.47+127.05+39.33+140.7+43.55+243.6+75.4+226.8+70.2+41.16+101.43+205.8+58.21</f>
        <v>1547.4900000000002</v>
      </c>
      <c r="E27" s="124">
        <v>2.1</v>
      </c>
      <c r="F27" s="75">
        <v>6</v>
      </c>
      <c r="G27" s="74"/>
    </row>
    <row r="28" spans="2:7" ht="46.5" customHeight="1" thickBot="1">
      <c r="B28" s="310"/>
      <c r="C28" s="311" t="s">
        <v>155</v>
      </c>
      <c r="D28" s="133">
        <f>103.95+85.39+168.3+33+17.2+52.8+27.52+199.24+168.3+176.55</f>
        <v>1032.25</v>
      </c>
      <c r="E28" s="137">
        <v>3.3</v>
      </c>
      <c r="F28" s="91">
        <v>4</v>
      </c>
      <c r="G28" s="77"/>
    </row>
    <row r="29" spans="2:7" ht="51" customHeight="1" thickBot="1">
      <c r="B29" s="310"/>
      <c r="C29" s="311"/>
      <c r="D29" s="128">
        <f>25.7+19.53+25.2+59.98+45.57+58.8</f>
        <v>234.77999999999997</v>
      </c>
      <c r="E29" s="129">
        <v>2.1</v>
      </c>
      <c r="F29" s="78">
        <v>3</v>
      </c>
      <c r="G29" s="79"/>
    </row>
    <row r="30" spans="2:7" ht="75.75" customHeight="1" thickBot="1">
      <c r="B30" s="310"/>
      <c r="C30" s="72" t="s">
        <v>156</v>
      </c>
      <c r="D30" s="124">
        <f>175.73+61.38+32.67+158.4+82.56+66+34.4+308.55+160.82+246.67+69.63+130.02</f>
        <v>1526.83</v>
      </c>
      <c r="E30" s="124">
        <v>3.3</v>
      </c>
      <c r="F30" s="73">
        <v>4</v>
      </c>
      <c r="G30" s="74"/>
    </row>
    <row r="31" spans="2:7" ht="26.25" customHeight="1" thickBot="1">
      <c r="B31" s="310"/>
      <c r="C31" s="312" t="s">
        <v>157</v>
      </c>
      <c r="D31" s="138">
        <f>23.63+57.65+36.54+85.26+55.13+134.51</f>
        <v>392.71999999999997</v>
      </c>
      <c r="E31" s="135">
        <v>2.1</v>
      </c>
      <c r="F31" s="92">
        <v>3</v>
      </c>
      <c r="G31" s="87"/>
    </row>
    <row r="32" spans="2:7" ht="30" customHeight="1" thickBot="1">
      <c r="B32" s="310"/>
      <c r="C32" s="312"/>
      <c r="D32" s="128">
        <f>84+192.15+448.35</f>
        <v>724.5</v>
      </c>
      <c r="E32" s="129">
        <v>7</v>
      </c>
      <c r="F32" s="78">
        <v>2</v>
      </c>
      <c r="G32" s="79"/>
    </row>
    <row r="33" spans="1:10" ht="36" customHeight="1" thickBot="1">
      <c r="B33" s="310"/>
      <c r="C33" s="312" t="s">
        <v>158</v>
      </c>
      <c r="D33" s="126">
        <f>28.71+66.99</f>
        <v>95.699999999999989</v>
      </c>
      <c r="E33" s="127">
        <v>3.3</v>
      </c>
      <c r="F33" s="76">
        <v>1</v>
      </c>
      <c r="G33" s="93"/>
    </row>
    <row r="34" spans="1:10" ht="33" customHeight="1" thickBot="1">
      <c r="B34" s="310"/>
      <c r="C34" s="312"/>
      <c r="D34" s="138">
        <f>185.85+100.8+235.2</f>
        <v>521.84999999999991</v>
      </c>
      <c r="E34" s="135">
        <v>7</v>
      </c>
      <c r="F34" s="92">
        <v>2</v>
      </c>
      <c r="G34" s="94"/>
    </row>
    <row r="35" spans="1:10" ht="38.25" customHeight="1" thickBot="1">
      <c r="B35" s="310"/>
      <c r="C35" s="312"/>
      <c r="D35" s="131">
        <f>57.65+134.51</f>
        <v>192.16</v>
      </c>
      <c r="E35" s="132">
        <v>2.1</v>
      </c>
      <c r="F35" s="82">
        <v>1</v>
      </c>
      <c r="G35" s="83"/>
    </row>
    <row r="36" spans="1:10" ht="72.75" customHeight="1" thickBot="1">
      <c r="B36" s="310"/>
      <c r="C36" s="84" t="s">
        <v>159</v>
      </c>
      <c r="D36" s="128">
        <f>57.42+126.72+95.04+295.68+221.76+133.98</f>
        <v>930.6</v>
      </c>
      <c r="E36" s="129">
        <v>3.3</v>
      </c>
      <c r="F36" s="78">
        <v>3</v>
      </c>
      <c r="G36" s="79"/>
    </row>
    <row r="37" spans="1:10" ht="25.5" customHeight="1">
      <c r="B37" s="95" t="s">
        <v>61</v>
      </c>
      <c r="C37" s="18"/>
      <c r="D37" s="96">
        <f>SUM(D8:D36)</f>
        <v>44599.61</v>
      </c>
      <c r="E37" s="96">
        <f>SUM(E8:E36)</f>
        <v>102.99999999999996</v>
      </c>
      <c r="F37" s="105">
        <f>SUM(F8:F36)</f>
        <v>100</v>
      </c>
      <c r="G37" s="98"/>
    </row>
    <row r="38" spans="1:10" ht="69.75" customHeight="1">
      <c r="B38" s="99" t="s">
        <v>9</v>
      </c>
      <c r="C38" s="99" t="s">
        <v>67</v>
      </c>
      <c r="D38" s="139" t="s">
        <v>11</v>
      </c>
      <c r="E38" s="139" t="s">
        <v>68</v>
      </c>
      <c r="F38" s="140" t="s">
        <v>2</v>
      </c>
      <c r="G38" s="100" t="s">
        <v>69</v>
      </c>
    </row>
    <row r="39" spans="1:10" ht="35.25" customHeight="1">
      <c r="B39" s="315"/>
      <c r="C39" s="18" t="s">
        <v>160</v>
      </c>
      <c r="D39" s="59">
        <v>79</v>
      </c>
      <c r="E39" s="59">
        <v>37</v>
      </c>
      <c r="F39" s="101">
        <v>2</v>
      </c>
      <c r="G39" s="102" t="s">
        <v>161</v>
      </c>
    </row>
    <row r="40" spans="1:10" ht="35.25" customHeight="1">
      <c r="B40" s="315"/>
      <c r="C40" s="103" t="s">
        <v>162</v>
      </c>
      <c r="D40" s="59">
        <v>0</v>
      </c>
      <c r="E40" s="59">
        <v>0</v>
      </c>
      <c r="F40" s="104">
        <v>1</v>
      </c>
      <c r="G40" s="102" t="s">
        <v>163</v>
      </c>
    </row>
    <row r="41" spans="1:10" ht="35.25" customHeight="1">
      <c r="B41" s="315"/>
      <c r="C41" s="103" t="s">
        <v>162</v>
      </c>
      <c r="D41" s="59">
        <f>75+75+28.7</f>
        <v>178.7</v>
      </c>
      <c r="E41" s="59">
        <v>25</v>
      </c>
      <c r="F41" s="144">
        <v>3</v>
      </c>
      <c r="G41" s="102" t="s">
        <v>161</v>
      </c>
    </row>
    <row r="42" spans="1:10" ht="42.75" customHeight="1">
      <c r="B42" s="315"/>
      <c r="C42" s="103" t="s">
        <v>164</v>
      </c>
      <c r="D42" s="106">
        <v>87</v>
      </c>
      <c r="E42" s="106">
        <v>37</v>
      </c>
      <c r="F42" s="145">
        <v>1</v>
      </c>
      <c r="G42" s="102" t="s">
        <v>161</v>
      </c>
      <c r="I42" s="107"/>
    </row>
    <row r="43" spans="1:10" ht="42.75" customHeight="1">
      <c r="B43" s="315"/>
      <c r="C43" s="103" t="s">
        <v>165</v>
      </c>
      <c r="D43" s="106">
        <v>114</v>
      </c>
      <c r="E43" s="106">
        <v>37</v>
      </c>
      <c r="F43" s="145">
        <v>1</v>
      </c>
      <c r="G43" s="102" t="s">
        <v>161</v>
      </c>
      <c r="I43" s="107"/>
    </row>
    <row r="44" spans="1:10" ht="25.5" customHeight="1">
      <c r="B44" s="108" t="s">
        <v>61</v>
      </c>
      <c r="C44" s="108"/>
      <c r="D44" s="96">
        <f>SUM(D39:D43)</f>
        <v>458.7</v>
      </c>
      <c r="E44" s="96">
        <f>SUM(E39:E43)</f>
        <v>136</v>
      </c>
      <c r="F44" s="97">
        <f>SUM(F39:F43)</f>
        <v>8</v>
      </c>
      <c r="G44" s="98"/>
      <c r="H44" s="107"/>
      <c r="I44" s="107"/>
      <c r="J44" s="107"/>
    </row>
    <row r="45" spans="1:10" ht="31.5" customHeight="1">
      <c r="B45" s="316" t="s">
        <v>66</v>
      </c>
      <c r="C45" s="316"/>
      <c r="D45" s="316"/>
      <c r="E45" s="316"/>
      <c r="F45" s="316"/>
      <c r="G45" s="316"/>
      <c r="H45" s="107"/>
    </row>
    <row r="46" spans="1:10" ht="53.25" customHeight="1">
      <c r="A46" s="8"/>
      <c r="B46" s="99" t="s">
        <v>9</v>
      </c>
      <c r="C46" s="99" t="s">
        <v>67</v>
      </c>
      <c r="D46" s="99" t="s">
        <v>11</v>
      </c>
      <c r="E46" s="99" t="s">
        <v>68</v>
      </c>
      <c r="F46" s="99" t="s">
        <v>2</v>
      </c>
      <c r="G46" s="100" t="s">
        <v>69</v>
      </c>
    </row>
    <row r="47" spans="1:10" ht="33" customHeight="1">
      <c r="B47" s="307" t="s">
        <v>70</v>
      </c>
      <c r="C47" s="109" t="s">
        <v>166</v>
      </c>
      <c r="D47" s="43">
        <v>0</v>
      </c>
      <c r="E47" s="43">
        <v>0</v>
      </c>
      <c r="F47" s="110">
        <v>0</v>
      </c>
      <c r="G47" s="37" t="s">
        <v>90</v>
      </c>
    </row>
    <row r="48" spans="1:10" ht="33" customHeight="1">
      <c r="B48" s="307"/>
      <c r="C48" s="109" t="s">
        <v>167</v>
      </c>
      <c r="D48" s="43">
        <v>0</v>
      </c>
      <c r="E48" s="43">
        <v>0</v>
      </c>
      <c r="F48" s="110">
        <v>0</v>
      </c>
      <c r="G48" s="37" t="s">
        <v>90</v>
      </c>
    </row>
    <row r="49" spans="2:7" ht="24.75" customHeight="1">
      <c r="B49" s="111" t="s">
        <v>61</v>
      </c>
      <c r="C49" s="112"/>
      <c r="D49" s="113">
        <f>SUM(D47:D48)</f>
        <v>0</v>
      </c>
      <c r="E49" s="113">
        <f>SUM(E47:E48)</f>
        <v>0</v>
      </c>
      <c r="F49" s="114">
        <f>SUM(F47:F48)</f>
        <v>0</v>
      </c>
      <c r="G49" s="26"/>
    </row>
    <row r="50" spans="2:7" ht="34.5" customHeight="1">
      <c r="B50" s="317" t="s">
        <v>71</v>
      </c>
      <c r="C50" s="115" t="s">
        <v>168</v>
      </c>
      <c r="D50" s="116">
        <v>68</v>
      </c>
      <c r="E50" s="117">
        <v>952</v>
      </c>
      <c r="F50" s="118">
        <v>18</v>
      </c>
      <c r="G50" s="119"/>
    </row>
    <row r="51" spans="2:7" ht="33" customHeight="1">
      <c r="B51" s="317"/>
      <c r="C51" s="109" t="s">
        <v>169</v>
      </c>
      <c r="D51" s="120">
        <v>1845</v>
      </c>
      <c r="E51" s="121">
        <v>2706</v>
      </c>
      <c r="F51" s="110">
        <v>66</v>
      </c>
      <c r="G51" s="26"/>
    </row>
    <row r="52" spans="2:7" ht="43.5" customHeight="1">
      <c r="B52" s="317"/>
      <c r="C52" s="109" t="s">
        <v>170</v>
      </c>
      <c r="D52" s="120">
        <v>96</v>
      </c>
      <c r="E52" s="121">
        <v>1080</v>
      </c>
      <c r="F52" s="110">
        <v>20</v>
      </c>
      <c r="G52" s="122"/>
    </row>
    <row r="53" spans="2:7" ht="36" customHeight="1">
      <c r="B53" s="317"/>
      <c r="C53" s="109" t="s">
        <v>171</v>
      </c>
      <c r="D53" s="120">
        <v>365</v>
      </c>
      <c r="E53" s="121">
        <v>730</v>
      </c>
      <c r="F53" s="110">
        <v>10</v>
      </c>
      <c r="G53" s="122"/>
    </row>
    <row r="54" spans="2:7" ht="29.25" customHeight="1">
      <c r="B54" s="111" t="s">
        <v>61</v>
      </c>
      <c r="C54" s="112"/>
      <c r="D54" s="113">
        <f>SUM(D50:D53)</f>
        <v>2374</v>
      </c>
      <c r="E54" s="113">
        <f>SUM(E50:E53)</f>
        <v>5468</v>
      </c>
      <c r="F54" s="141">
        <f>SUM(F50:F53)</f>
        <v>114</v>
      </c>
      <c r="G54" s="26"/>
    </row>
    <row r="55" spans="2:7" ht="24" customHeight="1">
      <c r="B55" s="23" t="s">
        <v>76</v>
      </c>
      <c r="C55" s="109"/>
      <c r="D55" s="43">
        <v>0</v>
      </c>
      <c r="E55" s="43">
        <v>0</v>
      </c>
      <c r="F55" s="146">
        <v>0</v>
      </c>
      <c r="G55" s="37" t="s">
        <v>90</v>
      </c>
    </row>
    <row r="56" spans="2:7" ht="27" customHeight="1">
      <c r="B56" s="111" t="s">
        <v>61</v>
      </c>
      <c r="C56" s="112"/>
      <c r="D56" s="113">
        <f>SUM(D55)</f>
        <v>0</v>
      </c>
      <c r="E56" s="113">
        <f>SUM(E55)</f>
        <v>0</v>
      </c>
      <c r="F56" s="141">
        <f>SUM(F55)</f>
        <v>0</v>
      </c>
      <c r="G56" s="26"/>
    </row>
    <row r="57" spans="2:7" ht="27" customHeight="1">
      <c r="B57" s="23" t="s">
        <v>79</v>
      </c>
      <c r="C57" s="112"/>
      <c r="D57" s="142">
        <v>0</v>
      </c>
      <c r="E57" s="142">
        <v>0</v>
      </c>
      <c r="F57" s="143">
        <v>0</v>
      </c>
      <c r="G57" s="37" t="s">
        <v>90</v>
      </c>
    </row>
    <row r="58" spans="2:7" ht="16.5" customHeight="1">
      <c r="B58" s="111" t="s">
        <v>61</v>
      </c>
      <c r="C58" s="112"/>
      <c r="D58" s="113">
        <f>SUM(D57)</f>
        <v>0</v>
      </c>
      <c r="E58" s="113">
        <f>SUM(E57)</f>
        <v>0</v>
      </c>
      <c r="F58" s="141">
        <f>SUM(F57)</f>
        <v>0</v>
      </c>
      <c r="G58" s="26"/>
    </row>
    <row r="59" spans="2:7" ht="30.75" customHeight="1">
      <c r="B59" s="23" t="s">
        <v>82</v>
      </c>
      <c r="C59" s="123"/>
      <c r="D59" s="43">
        <v>0</v>
      </c>
      <c r="E59" s="43">
        <v>0</v>
      </c>
      <c r="F59" s="110">
        <v>0</v>
      </c>
      <c r="G59" s="37" t="s">
        <v>90</v>
      </c>
    </row>
    <row r="60" spans="2:7" ht="15.6">
      <c r="B60" s="111" t="s">
        <v>61</v>
      </c>
      <c r="C60" s="112"/>
      <c r="D60" s="113">
        <f>SUM(D59)</f>
        <v>0</v>
      </c>
      <c r="E60" s="113">
        <f>SUM(E59)</f>
        <v>0</v>
      </c>
      <c r="F60" s="141">
        <f>SUM(F59)</f>
        <v>0</v>
      </c>
      <c r="G60" s="26"/>
    </row>
    <row r="61" spans="2:7" ht="17.25" customHeight="1">
      <c r="B61" s="314"/>
      <c r="C61" s="314"/>
      <c r="D61" s="314"/>
      <c r="E61" s="314"/>
      <c r="F61" s="314"/>
      <c r="G61" s="280"/>
    </row>
    <row r="62" spans="2:7" ht="47.25" customHeight="1">
      <c r="B62" s="111" t="s">
        <v>172</v>
      </c>
      <c r="C62" s="112"/>
      <c r="D62" s="61">
        <f>D37+D44+D49+D54+D56+D58+D60</f>
        <v>47432.31</v>
      </c>
      <c r="E62" s="61">
        <f>E37+E44+E49+E54+E56+E58+E60</f>
        <v>5707</v>
      </c>
      <c r="F62" s="62">
        <f>F37+F44+F49+F54+F56+F58+F60</f>
        <v>222</v>
      </c>
      <c r="G62" s="26"/>
    </row>
    <row r="63" spans="2:7">
      <c r="B63" s="31"/>
      <c r="C63" s="32"/>
      <c r="D63" s="32"/>
      <c r="E63" s="32"/>
    </row>
    <row r="64" spans="2:7">
      <c r="B64" s="31"/>
      <c r="C64" s="32"/>
      <c r="D64" s="32"/>
      <c r="E64" s="32"/>
    </row>
    <row r="65" spans="2:2">
      <c r="B65" s="33" t="s">
        <v>176</v>
      </c>
    </row>
    <row r="67" spans="2:2">
      <c r="B67" s="34" t="s">
        <v>175</v>
      </c>
    </row>
    <row r="68" spans="2:2">
      <c r="B68" s="34" t="s">
        <v>173</v>
      </c>
    </row>
    <row r="69" spans="2:2">
      <c r="B69" s="34" t="s">
        <v>174</v>
      </c>
    </row>
    <row r="74" spans="2:2" ht="15.75" customHeight="1"/>
  </sheetData>
  <mergeCells count="17">
    <mergeCell ref="B61:G61"/>
    <mergeCell ref="C31:C32"/>
    <mergeCell ref="C33:C35"/>
    <mergeCell ref="B39:B43"/>
    <mergeCell ref="B45:G45"/>
    <mergeCell ref="B47:B48"/>
    <mergeCell ref="B50:B53"/>
    <mergeCell ref="B4:G4"/>
    <mergeCell ref="B5:G5"/>
    <mergeCell ref="B6:G6"/>
    <mergeCell ref="B8:B36"/>
    <mergeCell ref="C11:C12"/>
    <mergeCell ref="C16:C17"/>
    <mergeCell ref="C18:C19"/>
    <mergeCell ref="C20:C22"/>
    <mergeCell ref="C25:C26"/>
    <mergeCell ref="C28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CA83-F09A-47C5-B321-73ABC41AD1A0}">
  <dimension ref="B1:P120"/>
  <sheetViews>
    <sheetView topLeftCell="A104" workbookViewId="0">
      <selection activeCell="G105" sqref="G105"/>
    </sheetView>
  </sheetViews>
  <sheetFormatPr defaultColWidth="9.109375" defaultRowHeight="14.4"/>
  <cols>
    <col min="1" max="1" width="3.44140625" customWidth="1"/>
    <col min="2" max="2" width="38.109375" customWidth="1"/>
    <col min="3" max="3" width="42.77734375" customWidth="1"/>
    <col min="4" max="4" width="16.6640625" customWidth="1"/>
    <col min="5" max="5" width="18.33203125" customWidth="1"/>
    <col min="6" max="6" width="11.33203125" customWidth="1"/>
    <col min="7" max="7" width="38.88671875" customWidth="1"/>
    <col min="8" max="8" width="16" customWidth="1"/>
  </cols>
  <sheetData>
    <row r="1" spans="2:9" ht="30" customHeight="1">
      <c r="B1" s="67" t="s">
        <v>4</v>
      </c>
    </row>
    <row r="2" spans="2:9" ht="25.5" customHeight="1">
      <c r="B2" s="67" t="s">
        <v>5</v>
      </c>
      <c r="D2" s="68"/>
      <c r="E2" s="68"/>
    </row>
    <row r="3" spans="2:9" ht="12.75" customHeight="1">
      <c r="B3" s="67"/>
      <c r="D3" s="68"/>
      <c r="E3" s="68"/>
    </row>
    <row r="4" spans="2:9" ht="32.25" customHeight="1">
      <c r="B4" s="298" t="s">
        <v>91</v>
      </c>
      <c r="C4" s="298"/>
      <c r="D4" s="298"/>
      <c r="E4" s="298"/>
      <c r="F4" s="298"/>
      <c r="G4" s="298"/>
    </row>
    <row r="5" spans="2:9" ht="31.5" customHeight="1">
      <c r="B5" s="308" t="s">
        <v>177</v>
      </c>
      <c r="C5" s="308"/>
      <c r="D5" s="308"/>
      <c r="E5" s="308"/>
      <c r="F5" s="308"/>
      <c r="G5" s="308"/>
    </row>
    <row r="6" spans="2:9" ht="26.25" customHeight="1">
      <c r="B6" s="319" t="s">
        <v>8</v>
      </c>
      <c r="C6" s="319"/>
      <c r="D6" s="319"/>
      <c r="E6" s="319"/>
      <c r="F6" s="319"/>
      <c r="G6" s="319"/>
    </row>
    <row r="7" spans="2:9" ht="97.5" customHeight="1">
      <c r="B7" s="147" t="s">
        <v>9</v>
      </c>
      <c r="C7" s="148" t="s">
        <v>10</v>
      </c>
      <c r="D7" s="148" t="s">
        <v>11</v>
      </c>
      <c r="E7" s="148" t="s">
        <v>12</v>
      </c>
      <c r="F7" s="148" t="s">
        <v>2</v>
      </c>
      <c r="G7" s="148" t="s">
        <v>13</v>
      </c>
      <c r="I7" s="149"/>
    </row>
    <row r="8" spans="2:9" ht="31.5" customHeight="1">
      <c r="B8" s="320" t="s">
        <v>93</v>
      </c>
      <c r="C8" s="18" t="s">
        <v>178</v>
      </c>
      <c r="D8" s="170">
        <v>129.6</v>
      </c>
      <c r="E8" s="171">
        <v>10</v>
      </c>
      <c r="F8" s="150">
        <v>8</v>
      </c>
      <c r="G8" s="151"/>
      <c r="I8" s="152"/>
    </row>
    <row r="9" spans="2:9" ht="31.5" customHeight="1">
      <c r="B9" s="321"/>
      <c r="C9" s="18" t="s">
        <v>179</v>
      </c>
      <c r="D9" s="170">
        <v>0</v>
      </c>
      <c r="E9" s="171">
        <v>6</v>
      </c>
      <c r="F9" s="150">
        <v>1</v>
      </c>
      <c r="G9" s="151"/>
      <c r="I9" s="152"/>
    </row>
    <row r="10" spans="2:9" ht="31.5" customHeight="1">
      <c r="B10" s="321"/>
      <c r="C10" s="103" t="s">
        <v>180</v>
      </c>
      <c r="D10" s="170">
        <v>78.3</v>
      </c>
      <c r="E10" s="171">
        <v>10</v>
      </c>
      <c r="F10" s="150">
        <v>4</v>
      </c>
      <c r="G10" s="151"/>
    </row>
    <row r="11" spans="2:9" ht="31.5" customHeight="1">
      <c r="B11" s="321"/>
      <c r="C11" s="103" t="s">
        <v>181</v>
      </c>
      <c r="D11" s="43">
        <v>0</v>
      </c>
      <c r="E11" s="172">
        <v>6</v>
      </c>
      <c r="F11" s="153">
        <v>1</v>
      </c>
      <c r="G11" s="154"/>
    </row>
    <row r="12" spans="2:9" ht="31.5" customHeight="1">
      <c r="B12" s="321"/>
      <c r="C12" s="18" t="s">
        <v>182</v>
      </c>
      <c r="D12" s="43">
        <v>0</v>
      </c>
      <c r="E12" s="172">
        <v>10</v>
      </c>
      <c r="F12" s="153">
        <v>3</v>
      </c>
      <c r="G12" s="154"/>
    </row>
    <row r="13" spans="2:9" ht="31.5" customHeight="1">
      <c r="B13" s="321"/>
      <c r="C13" s="18" t="s">
        <v>183</v>
      </c>
      <c r="D13" s="43">
        <v>0</v>
      </c>
      <c r="E13" s="172">
        <v>15</v>
      </c>
      <c r="F13" s="153">
        <v>0</v>
      </c>
      <c r="G13" s="37" t="s">
        <v>90</v>
      </c>
    </row>
    <row r="14" spans="2:9" ht="31.5" customHeight="1">
      <c r="B14" s="321"/>
      <c r="C14" s="18" t="s">
        <v>184</v>
      </c>
      <c r="D14" s="43">
        <v>0</v>
      </c>
      <c r="E14" s="172">
        <v>6</v>
      </c>
      <c r="F14" s="153">
        <v>0</v>
      </c>
      <c r="G14" s="37" t="s">
        <v>90</v>
      </c>
    </row>
    <row r="15" spans="2:9" ht="31.5" customHeight="1">
      <c r="B15" s="321"/>
      <c r="C15" s="18" t="s">
        <v>185</v>
      </c>
      <c r="D15" s="43">
        <v>30</v>
      </c>
      <c r="E15" s="172">
        <v>10</v>
      </c>
      <c r="F15" s="153">
        <v>8</v>
      </c>
      <c r="G15" s="151"/>
    </row>
    <row r="16" spans="2:9" ht="31.5" customHeight="1">
      <c r="B16" s="321"/>
      <c r="C16" s="18" t="s">
        <v>186</v>
      </c>
      <c r="D16" s="170">
        <v>124.98</v>
      </c>
      <c r="E16" s="171">
        <v>6</v>
      </c>
      <c r="F16" s="150">
        <v>7</v>
      </c>
      <c r="G16" s="151"/>
    </row>
    <row r="17" spans="2:9" ht="31.5" customHeight="1">
      <c r="B17" s="321"/>
      <c r="C17" s="18" t="s">
        <v>187</v>
      </c>
      <c r="D17" s="43">
        <v>30</v>
      </c>
      <c r="E17" s="172">
        <v>10</v>
      </c>
      <c r="F17" s="153">
        <v>1</v>
      </c>
      <c r="G17" s="155"/>
    </row>
    <row r="18" spans="2:9" ht="31.5" customHeight="1">
      <c r="B18" s="321"/>
      <c r="C18" s="18" t="s">
        <v>188</v>
      </c>
      <c r="D18" s="43">
        <v>45</v>
      </c>
      <c r="E18" s="172">
        <v>15</v>
      </c>
      <c r="F18" s="153">
        <v>1</v>
      </c>
      <c r="G18" s="155"/>
    </row>
    <row r="19" spans="2:9" ht="31.5" customHeight="1">
      <c r="B19" s="321"/>
      <c r="C19" s="18" t="s">
        <v>189</v>
      </c>
      <c r="D19" s="43">
        <v>27</v>
      </c>
      <c r="E19" s="172">
        <v>10</v>
      </c>
      <c r="F19" s="153">
        <v>5</v>
      </c>
      <c r="G19" s="151"/>
      <c r="H19" s="156"/>
    </row>
    <row r="20" spans="2:9" ht="31.5" customHeight="1">
      <c r="B20" s="321"/>
      <c r="C20" s="18" t="s">
        <v>190</v>
      </c>
      <c r="D20" s="170">
        <v>59.51</v>
      </c>
      <c r="E20" s="171">
        <v>6</v>
      </c>
      <c r="F20" s="150">
        <v>13</v>
      </c>
      <c r="G20" s="151"/>
      <c r="H20" s="156"/>
    </row>
    <row r="21" spans="2:9" ht="31.5" customHeight="1">
      <c r="B21" s="321"/>
      <c r="C21" s="18" t="s">
        <v>191</v>
      </c>
      <c r="D21" s="43">
        <v>161.1</v>
      </c>
      <c r="E21" s="172">
        <v>10</v>
      </c>
      <c r="F21" s="153">
        <v>6</v>
      </c>
      <c r="G21" s="151"/>
    </row>
    <row r="22" spans="2:9" ht="36" customHeight="1">
      <c r="B22" s="321"/>
      <c r="C22" s="18" t="s">
        <v>192</v>
      </c>
      <c r="D22" s="43">
        <v>30.24</v>
      </c>
      <c r="E22" s="172">
        <v>6</v>
      </c>
      <c r="F22" s="153">
        <v>9</v>
      </c>
      <c r="G22" s="151"/>
    </row>
    <row r="23" spans="2:9" ht="48.75" customHeight="1">
      <c r="B23" s="321"/>
      <c r="C23" s="18" t="s">
        <v>193</v>
      </c>
      <c r="D23" s="43">
        <v>0</v>
      </c>
      <c r="E23" s="172">
        <v>10</v>
      </c>
      <c r="F23" s="153">
        <v>0</v>
      </c>
      <c r="G23" s="37" t="s">
        <v>90</v>
      </c>
    </row>
    <row r="24" spans="2:9" ht="51.75" customHeight="1">
      <c r="B24" s="321"/>
      <c r="C24" s="18" t="s">
        <v>194</v>
      </c>
      <c r="D24" s="43">
        <v>0</v>
      </c>
      <c r="E24" s="172">
        <v>15</v>
      </c>
      <c r="F24" s="153">
        <v>0</v>
      </c>
      <c r="G24" s="37" t="s">
        <v>90</v>
      </c>
    </row>
    <row r="25" spans="2:9" ht="39" customHeight="1">
      <c r="B25" s="321"/>
      <c r="C25" s="18" t="s">
        <v>195</v>
      </c>
      <c r="D25" s="43">
        <v>0</v>
      </c>
      <c r="E25" s="172">
        <v>10</v>
      </c>
      <c r="F25" s="153">
        <v>10</v>
      </c>
      <c r="G25" s="157"/>
      <c r="I25" s="152"/>
    </row>
    <row r="26" spans="2:9" ht="31.5" customHeight="1">
      <c r="B26" s="321"/>
      <c r="C26" s="18" t="s">
        <v>196</v>
      </c>
      <c r="D26" s="43">
        <v>0</v>
      </c>
      <c r="E26" s="172">
        <v>6</v>
      </c>
      <c r="F26" s="153">
        <v>0</v>
      </c>
      <c r="G26" s="37" t="s">
        <v>90</v>
      </c>
    </row>
    <row r="27" spans="2:9" ht="31.5" customHeight="1">
      <c r="B27" s="321"/>
      <c r="C27" s="18" t="s">
        <v>197</v>
      </c>
      <c r="D27" s="43">
        <v>0</v>
      </c>
      <c r="E27" s="172">
        <v>10</v>
      </c>
      <c r="F27" s="153">
        <v>2</v>
      </c>
      <c r="G27" s="155"/>
    </row>
    <row r="28" spans="2:9" ht="31.5" customHeight="1">
      <c r="B28" s="321"/>
      <c r="C28" s="18" t="s">
        <v>198</v>
      </c>
      <c r="D28" s="43">
        <v>0</v>
      </c>
      <c r="E28" s="172">
        <v>6</v>
      </c>
      <c r="F28" s="153">
        <v>0</v>
      </c>
      <c r="G28" s="37" t="s">
        <v>90</v>
      </c>
    </row>
    <row r="29" spans="2:9" ht="31.5" customHeight="1">
      <c r="B29" s="321"/>
      <c r="C29" s="18" t="s">
        <v>199</v>
      </c>
      <c r="D29" s="43">
        <v>86.4</v>
      </c>
      <c r="E29" s="172">
        <v>10</v>
      </c>
      <c r="F29" s="153">
        <v>4</v>
      </c>
      <c r="G29" s="155"/>
    </row>
    <row r="30" spans="2:9" ht="31.5" customHeight="1">
      <c r="B30" s="321"/>
      <c r="C30" s="18" t="s">
        <v>200</v>
      </c>
      <c r="D30" s="43">
        <v>0</v>
      </c>
      <c r="E30" s="172">
        <v>6</v>
      </c>
      <c r="F30" s="153">
        <v>0</v>
      </c>
      <c r="G30" s="37" t="s">
        <v>90</v>
      </c>
      <c r="I30" s="152"/>
    </row>
    <row r="31" spans="2:9" ht="31.5" customHeight="1">
      <c r="B31" s="321"/>
      <c r="C31" s="18" t="s">
        <v>201</v>
      </c>
      <c r="D31" s="43">
        <v>0</v>
      </c>
      <c r="E31" s="172">
        <v>10</v>
      </c>
      <c r="F31" s="153">
        <v>0</v>
      </c>
      <c r="G31" s="37" t="s">
        <v>90</v>
      </c>
      <c r="I31" s="152"/>
    </row>
    <row r="32" spans="2:9" ht="31.5" customHeight="1">
      <c r="B32" s="321"/>
      <c r="C32" s="18" t="s">
        <v>202</v>
      </c>
      <c r="D32" s="43">
        <v>0</v>
      </c>
      <c r="E32" s="172">
        <v>6</v>
      </c>
      <c r="F32" s="153">
        <v>0</v>
      </c>
      <c r="G32" s="37" t="s">
        <v>90</v>
      </c>
      <c r="I32" s="152"/>
    </row>
    <row r="33" spans="2:9" ht="31.5" customHeight="1">
      <c r="B33" s="321"/>
      <c r="C33" s="18" t="s">
        <v>203</v>
      </c>
      <c r="D33" s="43">
        <v>0</v>
      </c>
      <c r="E33" s="172">
        <v>10</v>
      </c>
      <c r="F33" s="153">
        <v>2</v>
      </c>
      <c r="G33" s="100"/>
    </row>
    <row r="34" spans="2:9" ht="31.5" customHeight="1">
      <c r="B34" s="321"/>
      <c r="C34" s="18" t="s">
        <v>204</v>
      </c>
      <c r="D34" s="43">
        <v>0</v>
      </c>
      <c r="E34" s="172">
        <v>6</v>
      </c>
      <c r="F34" s="153">
        <v>0</v>
      </c>
      <c r="G34" s="37" t="s">
        <v>90</v>
      </c>
    </row>
    <row r="35" spans="2:9" ht="31.5" customHeight="1">
      <c r="B35" s="321"/>
      <c r="C35" s="18" t="s">
        <v>205</v>
      </c>
      <c r="D35" s="43">
        <v>0</v>
      </c>
      <c r="E35" s="172">
        <v>15</v>
      </c>
      <c r="F35" s="153">
        <v>0</v>
      </c>
      <c r="G35" s="37" t="s">
        <v>90</v>
      </c>
    </row>
    <row r="36" spans="2:9" ht="31.5" customHeight="1">
      <c r="B36" s="321"/>
      <c r="C36" s="18" t="s">
        <v>206</v>
      </c>
      <c r="D36" s="43">
        <v>0</v>
      </c>
      <c r="E36" s="172">
        <v>10</v>
      </c>
      <c r="F36" s="153">
        <v>2</v>
      </c>
      <c r="G36" s="158"/>
    </row>
    <row r="37" spans="2:9" ht="31.5" customHeight="1">
      <c r="B37" s="321"/>
      <c r="C37" s="18" t="s">
        <v>207</v>
      </c>
      <c r="D37" s="43">
        <v>52.65</v>
      </c>
      <c r="E37" s="172">
        <v>6</v>
      </c>
      <c r="F37" s="153">
        <v>3</v>
      </c>
      <c r="G37" s="155"/>
    </row>
    <row r="38" spans="2:9" ht="31.5" customHeight="1">
      <c r="B38" s="321"/>
      <c r="C38" s="18" t="s">
        <v>208</v>
      </c>
      <c r="D38" s="43">
        <v>0</v>
      </c>
      <c r="E38" s="172">
        <v>10</v>
      </c>
      <c r="F38" s="153">
        <v>4</v>
      </c>
      <c r="G38" s="159"/>
      <c r="I38" s="152"/>
    </row>
    <row r="39" spans="2:9" ht="31.5" customHeight="1">
      <c r="B39" s="321"/>
      <c r="C39" s="18" t="s">
        <v>209</v>
      </c>
      <c r="D39" s="43">
        <v>52.65</v>
      </c>
      <c r="E39" s="172">
        <v>6</v>
      </c>
      <c r="F39" s="153">
        <v>3</v>
      </c>
      <c r="G39" s="151"/>
    </row>
    <row r="40" spans="2:9" ht="31.5" customHeight="1">
      <c r="B40" s="321"/>
      <c r="C40" s="18" t="s">
        <v>210</v>
      </c>
      <c r="D40" s="43">
        <v>0</v>
      </c>
      <c r="E40" s="172">
        <v>15</v>
      </c>
      <c r="F40" s="153">
        <v>0</v>
      </c>
      <c r="G40" s="37" t="s">
        <v>90</v>
      </c>
    </row>
    <row r="41" spans="2:9" ht="31.5" customHeight="1">
      <c r="B41" s="321"/>
      <c r="C41" s="18" t="s">
        <v>211</v>
      </c>
      <c r="D41" s="43">
        <v>0</v>
      </c>
      <c r="E41" s="172">
        <v>10</v>
      </c>
      <c r="F41" s="153">
        <v>6</v>
      </c>
      <c r="G41" s="154"/>
      <c r="H41" s="160"/>
      <c r="I41" s="156"/>
    </row>
    <row r="42" spans="2:9" ht="31.5" customHeight="1">
      <c r="B42" s="321"/>
      <c r="C42" s="18" t="s">
        <v>212</v>
      </c>
      <c r="D42" s="43">
        <v>0</v>
      </c>
      <c r="E42" s="172">
        <v>6</v>
      </c>
      <c r="F42" s="153">
        <v>0</v>
      </c>
      <c r="G42" s="37" t="s">
        <v>90</v>
      </c>
    </row>
    <row r="43" spans="2:9" ht="42" customHeight="1">
      <c r="B43" s="321"/>
      <c r="C43" s="18" t="s">
        <v>213</v>
      </c>
      <c r="D43" s="43">
        <v>0</v>
      </c>
      <c r="E43" s="172">
        <v>10</v>
      </c>
      <c r="F43" s="153">
        <v>14</v>
      </c>
      <c r="G43" s="158"/>
    </row>
    <row r="44" spans="2:9" ht="31.5" customHeight="1">
      <c r="B44" s="321"/>
      <c r="C44" s="18" t="s">
        <v>214</v>
      </c>
      <c r="D44" s="43">
        <v>0</v>
      </c>
      <c r="E44" s="172">
        <v>6</v>
      </c>
      <c r="F44" s="153">
        <v>1</v>
      </c>
      <c r="G44" s="100"/>
    </row>
    <row r="45" spans="2:9" ht="31.5" customHeight="1">
      <c r="B45" s="321"/>
      <c r="C45" s="18" t="s">
        <v>215</v>
      </c>
      <c r="D45" s="43">
        <v>0</v>
      </c>
      <c r="E45" s="172">
        <v>15</v>
      </c>
      <c r="F45" s="153">
        <v>0</v>
      </c>
      <c r="G45" s="37" t="s">
        <v>90</v>
      </c>
    </row>
    <row r="46" spans="2:9" ht="31.5" customHeight="1">
      <c r="B46" s="321"/>
      <c r="C46" s="18" t="s">
        <v>216</v>
      </c>
      <c r="D46" s="43">
        <v>0</v>
      </c>
      <c r="E46" s="172">
        <v>10</v>
      </c>
      <c r="F46" s="153">
        <v>3</v>
      </c>
      <c r="G46" s="100"/>
      <c r="I46" s="152"/>
    </row>
    <row r="47" spans="2:9" ht="31.5" customHeight="1">
      <c r="B47" s="321"/>
      <c r="C47" s="18" t="s">
        <v>217</v>
      </c>
      <c r="D47" s="43">
        <v>0</v>
      </c>
      <c r="E47" s="172">
        <v>6</v>
      </c>
      <c r="F47" s="153">
        <v>0</v>
      </c>
      <c r="G47" s="37" t="s">
        <v>90</v>
      </c>
    </row>
    <row r="48" spans="2:9" ht="31.5" customHeight="1">
      <c r="B48" s="321"/>
      <c r="C48" s="18" t="s">
        <v>218</v>
      </c>
      <c r="D48" s="43">
        <v>0</v>
      </c>
      <c r="E48" s="172">
        <v>10</v>
      </c>
      <c r="F48" s="153">
        <v>5</v>
      </c>
      <c r="G48" s="148"/>
    </row>
    <row r="49" spans="2:16" ht="31.5" customHeight="1">
      <c r="B49" s="321"/>
      <c r="C49" s="18" t="s">
        <v>219</v>
      </c>
      <c r="D49" s="43">
        <v>0</v>
      </c>
      <c r="E49" s="172">
        <v>6</v>
      </c>
      <c r="F49" s="153">
        <v>0</v>
      </c>
      <c r="G49" s="37" t="s">
        <v>90</v>
      </c>
    </row>
    <row r="50" spans="2:16" ht="31.5" customHeight="1">
      <c r="B50" s="321"/>
      <c r="C50" s="18" t="s">
        <v>220</v>
      </c>
      <c r="D50" s="43">
        <v>0</v>
      </c>
      <c r="E50" s="172">
        <v>10</v>
      </c>
      <c r="F50" s="153">
        <v>2</v>
      </c>
      <c r="G50" s="26"/>
      <c r="I50" s="152"/>
      <c r="P50" s="161"/>
    </row>
    <row r="51" spans="2:16" ht="31.5" customHeight="1">
      <c r="B51" s="321"/>
      <c r="C51" s="18" t="s">
        <v>221</v>
      </c>
      <c r="D51" s="43">
        <v>0</v>
      </c>
      <c r="E51" s="172">
        <v>6</v>
      </c>
      <c r="F51" s="153">
        <v>0</v>
      </c>
      <c r="G51" s="37" t="s">
        <v>90</v>
      </c>
      <c r="P51" s="161"/>
    </row>
    <row r="52" spans="2:16" ht="31.5" customHeight="1">
      <c r="B52" s="321"/>
      <c r="C52" s="18" t="s">
        <v>222</v>
      </c>
      <c r="D52" s="43">
        <v>0</v>
      </c>
      <c r="E52" s="172">
        <v>10</v>
      </c>
      <c r="F52" s="153">
        <v>2</v>
      </c>
      <c r="G52" s="158"/>
      <c r="P52" s="161"/>
    </row>
    <row r="53" spans="2:16" ht="31.5" customHeight="1">
      <c r="B53" s="321"/>
      <c r="C53" s="18" t="s">
        <v>223</v>
      </c>
      <c r="D53" s="43">
        <v>0</v>
      </c>
      <c r="E53" s="172">
        <v>6</v>
      </c>
      <c r="F53" s="103">
        <v>3</v>
      </c>
      <c r="G53" s="162"/>
    </row>
    <row r="54" spans="2:16" ht="31.5" customHeight="1">
      <c r="B54" s="321"/>
      <c r="C54" s="18" t="s">
        <v>224</v>
      </c>
      <c r="D54" s="43">
        <v>0</v>
      </c>
      <c r="E54" s="172">
        <v>10</v>
      </c>
      <c r="F54" s="103">
        <v>3</v>
      </c>
      <c r="G54" s="162"/>
    </row>
    <row r="55" spans="2:16" ht="31.5" customHeight="1">
      <c r="B55" s="321"/>
      <c r="C55" s="18" t="s">
        <v>225</v>
      </c>
      <c r="D55" s="43">
        <v>0</v>
      </c>
      <c r="E55" s="172">
        <v>6</v>
      </c>
      <c r="F55" s="103">
        <v>6</v>
      </c>
      <c r="G55" s="162"/>
    </row>
    <row r="56" spans="2:16" ht="31.5" customHeight="1">
      <c r="B56" s="321"/>
      <c r="C56" s="18" t="s">
        <v>226</v>
      </c>
      <c r="D56" s="43">
        <v>0</v>
      </c>
      <c r="E56" s="172">
        <v>10</v>
      </c>
      <c r="F56" s="103">
        <v>0</v>
      </c>
      <c r="G56" s="37" t="s">
        <v>90</v>
      </c>
    </row>
    <row r="57" spans="2:16" ht="31.5" customHeight="1">
      <c r="B57" s="321"/>
      <c r="C57" s="18" t="s">
        <v>227</v>
      </c>
      <c r="D57" s="43">
        <v>0</v>
      </c>
      <c r="E57" s="172">
        <v>6</v>
      </c>
      <c r="F57" s="103">
        <v>2</v>
      </c>
      <c r="G57" s="147"/>
    </row>
    <row r="58" spans="2:16" ht="31.5" customHeight="1">
      <c r="B58" s="321"/>
      <c r="C58" s="18" t="s">
        <v>228</v>
      </c>
      <c r="D58" s="170">
        <v>354</v>
      </c>
      <c r="E58" s="172">
        <v>10</v>
      </c>
      <c r="F58" s="103">
        <v>6</v>
      </c>
      <c r="G58" s="162"/>
    </row>
    <row r="59" spans="2:16" ht="31.5" customHeight="1">
      <c r="B59" s="322"/>
      <c r="C59" s="18" t="s">
        <v>229</v>
      </c>
      <c r="D59" s="43">
        <v>0</v>
      </c>
      <c r="E59" s="172">
        <v>6</v>
      </c>
      <c r="F59" s="103">
        <v>1</v>
      </c>
      <c r="G59" s="162"/>
    </row>
    <row r="60" spans="2:16" ht="31.5" customHeight="1">
      <c r="B60" s="322"/>
      <c r="C60" s="18" t="s">
        <v>230</v>
      </c>
      <c r="D60" s="43">
        <v>0</v>
      </c>
      <c r="E60" s="172">
        <v>15</v>
      </c>
      <c r="F60" s="103">
        <v>0</v>
      </c>
      <c r="G60" s="37" t="s">
        <v>90</v>
      </c>
    </row>
    <row r="61" spans="2:16" ht="33" customHeight="1">
      <c r="B61" s="108" t="s">
        <v>61</v>
      </c>
      <c r="C61" s="108"/>
      <c r="D61" s="96">
        <f>SUM(D8:D60)</f>
        <v>1261.4299999999998</v>
      </c>
      <c r="E61" s="96">
        <f>SUM(E8:E60)</f>
        <v>477</v>
      </c>
      <c r="F61" s="97">
        <f>SUM(F8:F60)</f>
        <v>151</v>
      </c>
      <c r="G61" s="98"/>
    </row>
    <row r="62" spans="2:16" ht="33" customHeight="1">
      <c r="B62" s="323" t="s">
        <v>62</v>
      </c>
      <c r="C62" s="18" t="s">
        <v>231</v>
      </c>
      <c r="D62" s="43">
        <v>0</v>
      </c>
      <c r="E62" s="172">
        <v>0</v>
      </c>
      <c r="F62" s="163">
        <v>4</v>
      </c>
      <c r="G62" s="153" t="s">
        <v>266</v>
      </c>
    </row>
    <row r="63" spans="2:16" s="165" customFormat="1" ht="56.4" customHeight="1">
      <c r="B63" s="324"/>
      <c r="C63" s="18" t="s">
        <v>232</v>
      </c>
      <c r="D63" s="43">
        <v>0</v>
      </c>
      <c r="E63" s="172">
        <v>1.22</v>
      </c>
      <c r="F63" s="144">
        <v>0</v>
      </c>
      <c r="G63" s="37" t="s">
        <v>90</v>
      </c>
    </row>
    <row r="64" spans="2:16" ht="28.8">
      <c r="B64" s="324"/>
      <c r="C64" s="166" t="s">
        <v>233</v>
      </c>
      <c r="D64" s="43">
        <v>0</v>
      </c>
      <c r="E64" s="173">
        <v>4.96</v>
      </c>
      <c r="F64" s="144">
        <v>0</v>
      </c>
      <c r="G64" s="37" t="s">
        <v>90</v>
      </c>
    </row>
    <row r="65" spans="2:7" ht="39.75" customHeight="1">
      <c r="B65" s="324"/>
      <c r="C65" s="18" t="s">
        <v>234</v>
      </c>
      <c r="D65" s="43">
        <v>0</v>
      </c>
      <c r="E65" s="172">
        <v>0</v>
      </c>
      <c r="F65" s="144">
        <v>0</v>
      </c>
      <c r="G65" s="37" t="s">
        <v>90</v>
      </c>
    </row>
    <row r="66" spans="2:7" ht="28.8">
      <c r="B66" s="324"/>
      <c r="C66" s="18" t="s">
        <v>235</v>
      </c>
      <c r="D66" s="43">
        <v>0</v>
      </c>
      <c r="E66" s="172">
        <v>1.22</v>
      </c>
      <c r="F66" s="144">
        <v>0</v>
      </c>
      <c r="G66" s="37" t="s">
        <v>90</v>
      </c>
    </row>
    <row r="67" spans="2:7" ht="53.25" customHeight="1">
      <c r="B67" s="324"/>
      <c r="C67" s="18" t="s">
        <v>236</v>
      </c>
      <c r="D67" s="43">
        <v>0</v>
      </c>
      <c r="E67" s="172">
        <v>4.96</v>
      </c>
      <c r="F67" s="144">
        <v>0</v>
      </c>
      <c r="G67" s="37" t="s">
        <v>90</v>
      </c>
    </row>
    <row r="68" spans="2:7" ht="53.25" customHeight="1">
      <c r="B68" s="324"/>
      <c r="C68" s="18" t="s">
        <v>237</v>
      </c>
      <c r="D68" s="43">
        <v>0</v>
      </c>
      <c r="E68" s="172">
        <v>0</v>
      </c>
      <c r="F68" s="144">
        <v>0</v>
      </c>
      <c r="G68" s="37" t="s">
        <v>90</v>
      </c>
    </row>
    <row r="69" spans="2:7" ht="55.2" customHeight="1">
      <c r="B69" s="324"/>
      <c r="C69" s="18" t="s">
        <v>238</v>
      </c>
      <c r="D69" s="43">
        <v>0</v>
      </c>
      <c r="E69" s="172">
        <v>1.22</v>
      </c>
      <c r="F69" s="144">
        <v>0</v>
      </c>
      <c r="G69" s="37" t="s">
        <v>90</v>
      </c>
    </row>
    <row r="70" spans="2:7">
      <c r="B70" s="324"/>
      <c r="C70" s="18" t="s">
        <v>239</v>
      </c>
      <c r="D70" s="43">
        <v>0</v>
      </c>
      <c r="E70" s="172">
        <v>4.96</v>
      </c>
      <c r="F70" s="144">
        <v>0</v>
      </c>
      <c r="G70" s="37" t="s">
        <v>90</v>
      </c>
    </row>
    <row r="71" spans="2:7" ht="42.75" customHeight="1">
      <c r="B71" s="324"/>
      <c r="C71" s="18" t="s">
        <v>240</v>
      </c>
      <c r="D71" s="43">
        <v>0</v>
      </c>
      <c r="E71" s="172">
        <v>4.96</v>
      </c>
      <c r="F71" s="144">
        <v>0</v>
      </c>
      <c r="G71" s="37" t="s">
        <v>90</v>
      </c>
    </row>
    <row r="72" spans="2:7" ht="42.75" customHeight="1">
      <c r="B72" s="324"/>
      <c r="C72" s="18" t="s">
        <v>241</v>
      </c>
      <c r="D72" s="43">
        <v>0</v>
      </c>
      <c r="E72" s="172">
        <v>0</v>
      </c>
      <c r="F72" s="18">
        <v>3</v>
      </c>
      <c r="G72" s="103" t="s">
        <v>266</v>
      </c>
    </row>
    <row r="73" spans="2:7" ht="42.75" customHeight="1">
      <c r="B73" s="324"/>
      <c r="C73" s="18" t="s">
        <v>242</v>
      </c>
      <c r="D73" s="43">
        <v>0</v>
      </c>
      <c r="E73" s="172">
        <v>0.99</v>
      </c>
      <c r="F73" s="144">
        <v>0</v>
      </c>
      <c r="G73" s="37" t="s">
        <v>90</v>
      </c>
    </row>
    <row r="74" spans="2:7" ht="42.75" customHeight="1">
      <c r="B74" s="324"/>
      <c r="C74" s="18" t="s">
        <v>243</v>
      </c>
      <c r="D74" s="43">
        <v>24.79</v>
      </c>
      <c r="E74" s="172">
        <v>3.72</v>
      </c>
      <c r="F74" s="144">
        <v>1</v>
      </c>
      <c r="G74" s="164" t="s">
        <v>244</v>
      </c>
    </row>
    <row r="75" spans="2:7" ht="42.75" customHeight="1">
      <c r="B75" s="324"/>
      <c r="C75" s="18" t="s">
        <v>245</v>
      </c>
      <c r="D75" s="43">
        <v>0</v>
      </c>
      <c r="E75" s="172">
        <v>11.16</v>
      </c>
      <c r="F75" s="144">
        <v>0</v>
      </c>
      <c r="G75" s="37" t="s">
        <v>90</v>
      </c>
    </row>
    <row r="76" spans="2:7" ht="42.75" customHeight="1">
      <c r="B76" s="324"/>
      <c r="C76" s="18" t="s">
        <v>246</v>
      </c>
      <c r="D76" s="43">
        <v>0</v>
      </c>
      <c r="E76" s="172">
        <v>0</v>
      </c>
      <c r="F76" s="18">
        <v>2</v>
      </c>
      <c r="G76" s="103" t="s">
        <v>266</v>
      </c>
    </row>
    <row r="77" spans="2:7" ht="42.75" customHeight="1">
      <c r="B77" s="324"/>
      <c r="C77" s="18" t="s">
        <v>247</v>
      </c>
      <c r="D77" s="43">
        <v>0</v>
      </c>
      <c r="E77" s="172">
        <v>0.68</v>
      </c>
      <c r="F77" s="144">
        <v>0</v>
      </c>
      <c r="G77" s="37" t="s">
        <v>90</v>
      </c>
    </row>
    <row r="78" spans="2:7" ht="42.75" customHeight="1">
      <c r="B78" s="324"/>
      <c r="C78" s="18" t="s">
        <v>248</v>
      </c>
      <c r="D78" s="43">
        <v>0</v>
      </c>
      <c r="E78" s="172">
        <v>2.48</v>
      </c>
      <c r="F78" s="144">
        <v>0</v>
      </c>
      <c r="G78" s="37" t="s">
        <v>90</v>
      </c>
    </row>
    <row r="79" spans="2:7" ht="42.75" customHeight="1">
      <c r="B79" s="324"/>
      <c r="C79" s="18" t="s">
        <v>249</v>
      </c>
      <c r="D79" s="43">
        <v>0</v>
      </c>
      <c r="E79" s="172">
        <v>7.44</v>
      </c>
      <c r="F79" s="144">
        <v>0</v>
      </c>
      <c r="G79" s="37" t="s">
        <v>90</v>
      </c>
    </row>
    <row r="80" spans="2:7" ht="42.75" customHeight="1">
      <c r="B80" s="324"/>
      <c r="C80" s="18" t="s">
        <v>250</v>
      </c>
      <c r="D80" s="43">
        <v>0</v>
      </c>
      <c r="E80" s="172">
        <v>0</v>
      </c>
      <c r="F80" s="18">
        <v>1</v>
      </c>
      <c r="G80" s="103" t="s">
        <v>266</v>
      </c>
    </row>
    <row r="81" spans="2:7" ht="39.6" customHeight="1">
      <c r="B81" s="324"/>
      <c r="C81" s="18" t="s">
        <v>251</v>
      </c>
      <c r="D81" s="43">
        <v>0</v>
      </c>
      <c r="E81" s="172">
        <v>0.68</v>
      </c>
      <c r="F81" s="144">
        <v>0</v>
      </c>
      <c r="G81" s="37" t="s">
        <v>90</v>
      </c>
    </row>
    <row r="82" spans="2:7" ht="42" customHeight="1">
      <c r="B82" s="324"/>
      <c r="C82" s="18" t="s">
        <v>252</v>
      </c>
      <c r="D82" s="43">
        <v>0</v>
      </c>
      <c r="E82" s="172">
        <v>2.48</v>
      </c>
      <c r="F82" s="144">
        <v>0</v>
      </c>
      <c r="G82" s="37" t="s">
        <v>90</v>
      </c>
    </row>
    <row r="83" spans="2:7" ht="47.25" customHeight="1">
      <c r="B83" s="325"/>
      <c r="C83" s="18" t="s">
        <v>253</v>
      </c>
      <c r="D83" s="43">
        <v>0</v>
      </c>
      <c r="E83" s="172">
        <v>7.44</v>
      </c>
      <c r="F83" s="144">
        <v>0</v>
      </c>
      <c r="G83" s="37" t="s">
        <v>90</v>
      </c>
    </row>
    <row r="84" spans="2:7" ht="33" customHeight="1">
      <c r="B84" s="108" t="s">
        <v>61</v>
      </c>
      <c r="C84" s="108"/>
      <c r="D84" s="96">
        <f>SUM(D62:D83)</f>
        <v>24.79</v>
      </c>
      <c r="E84" s="96">
        <f>SUM(E62:E83)</f>
        <v>60.569999999999986</v>
      </c>
      <c r="F84" s="105">
        <f>SUM(F62:F83)</f>
        <v>11</v>
      </c>
      <c r="G84" s="98"/>
    </row>
    <row r="85" spans="2:7" ht="24.75" customHeight="1">
      <c r="B85" s="318" t="s">
        <v>66</v>
      </c>
      <c r="C85" s="318"/>
      <c r="D85" s="318"/>
      <c r="E85" s="318"/>
      <c r="F85" s="318"/>
      <c r="G85" s="318"/>
    </row>
    <row r="86" spans="2:7" ht="53.25" customHeight="1">
      <c r="B86" s="99" t="s">
        <v>9</v>
      </c>
      <c r="C86" s="99" t="s">
        <v>67</v>
      </c>
      <c r="D86" s="99" t="s">
        <v>254</v>
      </c>
      <c r="E86" s="99" t="s">
        <v>68</v>
      </c>
      <c r="F86" s="99" t="s">
        <v>2</v>
      </c>
      <c r="G86" s="100" t="s">
        <v>69</v>
      </c>
    </row>
    <row r="87" spans="2:7" ht="28.8">
      <c r="B87" s="23" t="s">
        <v>70</v>
      </c>
      <c r="C87" s="109"/>
      <c r="D87" s="43">
        <v>0</v>
      </c>
      <c r="E87" s="43">
        <v>0</v>
      </c>
      <c r="F87" s="144">
        <v>0</v>
      </c>
      <c r="G87" s="37" t="s">
        <v>90</v>
      </c>
    </row>
    <row r="88" spans="2:7" ht="29.25" customHeight="1">
      <c r="B88" s="111" t="s">
        <v>61</v>
      </c>
      <c r="C88" s="112"/>
      <c r="D88" s="50">
        <f>SUM(D87)</f>
        <v>0</v>
      </c>
      <c r="E88" s="50">
        <f>SUM(E87)</f>
        <v>0</v>
      </c>
      <c r="F88" s="52">
        <f>SUM(F87)</f>
        <v>0</v>
      </c>
      <c r="G88" s="26"/>
    </row>
    <row r="89" spans="2:7" ht="90" customHeight="1">
      <c r="B89" s="317" t="s">
        <v>71</v>
      </c>
      <c r="C89" s="18" t="s">
        <v>255</v>
      </c>
      <c r="D89" s="43">
        <v>4818.75</v>
      </c>
      <c r="E89" s="43">
        <v>5540</v>
      </c>
      <c r="F89" s="18">
        <v>94</v>
      </c>
      <c r="G89" s="26"/>
    </row>
    <row r="90" spans="2:7" ht="24" customHeight="1">
      <c r="B90" s="317"/>
      <c r="C90" s="18" t="s">
        <v>256</v>
      </c>
      <c r="D90" s="43">
        <v>0</v>
      </c>
      <c r="E90" s="43">
        <v>3600</v>
      </c>
      <c r="F90" s="18">
        <v>58</v>
      </c>
      <c r="G90" s="26"/>
    </row>
    <row r="91" spans="2:7" ht="39" customHeight="1">
      <c r="B91" s="111" t="s">
        <v>61</v>
      </c>
      <c r="C91" s="112"/>
      <c r="D91" s="96">
        <f>SUM(D89:D90)</f>
        <v>4818.75</v>
      </c>
      <c r="E91" s="96">
        <f>SUM(E89:E90)</f>
        <v>9140</v>
      </c>
      <c r="F91" s="147">
        <f>SUM(F89:F90)</f>
        <v>152</v>
      </c>
      <c r="G91" s="26"/>
    </row>
    <row r="92" spans="2:7" ht="72.599999999999994" customHeight="1">
      <c r="B92" s="327" t="s">
        <v>76</v>
      </c>
      <c r="C92" s="167" t="s">
        <v>257</v>
      </c>
      <c r="D92" s="43">
        <v>0</v>
      </c>
      <c r="E92" s="170">
        <v>208.09</v>
      </c>
      <c r="F92" s="144">
        <v>0</v>
      </c>
      <c r="G92" s="37" t="s">
        <v>90</v>
      </c>
    </row>
    <row r="93" spans="2:7" ht="54" customHeight="1">
      <c r="B93" s="327"/>
      <c r="C93" s="167" t="s">
        <v>258</v>
      </c>
      <c r="D93" s="43">
        <v>0</v>
      </c>
      <c r="E93" s="170">
        <v>242.72</v>
      </c>
      <c r="F93" s="144">
        <v>0</v>
      </c>
      <c r="G93" s="37" t="s">
        <v>90</v>
      </c>
    </row>
    <row r="94" spans="2:7" ht="33.6" customHeight="1">
      <c r="B94" s="327"/>
      <c r="C94" s="167" t="s">
        <v>259</v>
      </c>
      <c r="D94" s="43">
        <v>0</v>
      </c>
      <c r="E94" s="43">
        <v>21542.98</v>
      </c>
      <c r="F94" s="144">
        <v>0</v>
      </c>
      <c r="G94" s="37" t="s">
        <v>90</v>
      </c>
    </row>
    <row r="95" spans="2:7" ht="45" customHeight="1">
      <c r="B95" s="111" t="s">
        <v>61</v>
      </c>
      <c r="C95" s="112"/>
      <c r="D95" s="96">
        <f>SUM(D92:D94)</f>
        <v>0</v>
      </c>
      <c r="E95" s="96">
        <f>SUM(E92:E94)</f>
        <v>21993.79</v>
      </c>
      <c r="F95" s="147">
        <f>SUM(F92:F94)</f>
        <v>0</v>
      </c>
      <c r="G95" s="26"/>
    </row>
    <row r="96" spans="2:7" ht="60" customHeight="1">
      <c r="B96" s="327" t="s">
        <v>79</v>
      </c>
      <c r="C96" s="103" t="s">
        <v>260</v>
      </c>
      <c r="D96" s="43">
        <v>0</v>
      </c>
      <c r="E96" s="43">
        <v>852</v>
      </c>
      <c r="F96" s="144">
        <v>0</v>
      </c>
      <c r="G96" s="37" t="s">
        <v>90</v>
      </c>
    </row>
    <row r="97" spans="2:7" ht="45" customHeight="1">
      <c r="B97" s="327"/>
      <c r="C97" s="18" t="s">
        <v>261</v>
      </c>
      <c r="D97" s="43">
        <v>0</v>
      </c>
      <c r="E97" s="43">
        <v>7942.93</v>
      </c>
      <c r="F97" s="144">
        <v>0</v>
      </c>
      <c r="G97" s="37" t="s">
        <v>90</v>
      </c>
    </row>
    <row r="98" spans="2:7" ht="45" customHeight="1">
      <c r="B98" s="327"/>
      <c r="C98" s="18" t="s">
        <v>262</v>
      </c>
      <c r="D98" s="170">
        <v>4218.75</v>
      </c>
      <c r="E98" s="170">
        <v>4218.75</v>
      </c>
      <c r="F98" s="144">
        <v>1</v>
      </c>
      <c r="G98" s="18" t="s">
        <v>263</v>
      </c>
    </row>
    <row r="99" spans="2:7" ht="45" customHeight="1">
      <c r="B99" s="327"/>
      <c r="C99" s="103" t="s">
        <v>264</v>
      </c>
      <c r="D99" s="43">
        <v>0</v>
      </c>
      <c r="E99" s="43">
        <v>0</v>
      </c>
      <c r="F99" s="144">
        <v>0</v>
      </c>
      <c r="G99" s="37" t="s">
        <v>90</v>
      </c>
    </row>
    <row r="100" spans="2:7" ht="54" customHeight="1">
      <c r="B100" s="327"/>
      <c r="C100" s="18" t="s">
        <v>265</v>
      </c>
      <c r="D100" s="43">
        <v>0</v>
      </c>
      <c r="E100" s="43">
        <v>0</v>
      </c>
      <c r="F100" s="144">
        <v>0</v>
      </c>
      <c r="G100" s="18" t="s">
        <v>266</v>
      </c>
    </row>
    <row r="101" spans="2:7" ht="45" customHeight="1">
      <c r="B101" s="327"/>
      <c r="C101" s="18" t="s">
        <v>267</v>
      </c>
      <c r="D101" s="43">
        <v>0</v>
      </c>
      <c r="E101" s="43">
        <v>1653.75</v>
      </c>
      <c r="F101" s="144">
        <v>0</v>
      </c>
      <c r="G101" s="37" t="s">
        <v>90</v>
      </c>
    </row>
    <row r="102" spans="2:7" ht="62.4" customHeight="1">
      <c r="B102" s="327"/>
      <c r="C102" s="168" t="s">
        <v>268</v>
      </c>
      <c r="D102" s="43">
        <v>0</v>
      </c>
      <c r="E102" s="43">
        <v>0</v>
      </c>
      <c r="F102" s="144">
        <v>0</v>
      </c>
      <c r="G102" s="18" t="s">
        <v>266</v>
      </c>
    </row>
    <row r="103" spans="2:7" ht="45" customHeight="1">
      <c r="B103" s="327"/>
      <c r="C103" s="18" t="s">
        <v>269</v>
      </c>
      <c r="D103" s="43">
        <v>0</v>
      </c>
      <c r="E103" s="43">
        <v>1330.93</v>
      </c>
      <c r="F103" s="144">
        <v>0</v>
      </c>
      <c r="G103" s="37" t="s">
        <v>90</v>
      </c>
    </row>
    <row r="104" spans="2:7" ht="21" customHeight="1">
      <c r="B104" s="327"/>
      <c r="C104" s="18" t="s">
        <v>270</v>
      </c>
      <c r="D104" s="43">
        <v>0</v>
      </c>
      <c r="E104" s="43">
        <v>0</v>
      </c>
      <c r="F104" s="144">
        <v>0</v>
      </c>
      <c r="G104" s="18" t="s">
        <v>266</v>
      </c>
    </row>
    <row r="105" spans="2:7" ht="30.75" customHeight="1">
      <c r="B105" s="327"/>
      <c r="C105" s="18" t="s">
        <v>271</v>
      </c>
      <c r="D105" s="43">
        <v>0</v>
      </c>
      <c r="E105" s="43">
        <v>1818.75</v>
      </c>
      <c r="F105" s="144">
        <v>0</v>
      </c>
      <c r="G105" s="37" t="s">
        <v>90</v>
      </c>
    </row>
    <row r="106" spans="2:7" ht="15.6">
      <c r="B106" s="111" t="s">
        <v>61</v>
      </c>
      <c r="C106" s="174"/>
      <c r="D106" s="96">
        <f>SUM(D96:D105)</f>
        <v>4218.75</v>
      </c>
      <c r="E106" s="96">
        <f>SUM(E96:E105)</f>
        <v>17817.11</v>
      </c>
      <c r="F106" s="147">
        <f>SUM(F96:F105)</f>
        <v>1</v>
      </c>
      <c r="G106" s="26"/>
    </row>
    <row r="107" spans="2:7" ht="30.75" customHeight="1">
      <c r="B107" s="23" t="s">
        <v>82</v>
      </c>
      <c r="C107" s="30" t="s">
        <v>272</v>
      </c>
      <c r="D107" s="170">
        <v>0</v>
      </c>
      <c r="E107" s="170">
        <v>0</v>
      </c>
      <c r="F107" s="169">
        <v>0</v>
      </c>
      <c r="G107" s="18" t="s">
        <v>273</v>
      </c>
    </row>
    <row r="108" spans="2:7" ht="15.6">
      <c r="B108" s="27" t="s">
        <v>61</v>
      </c>
      <c r="C108" s="28"/>
      <c r="D108" s="50">
        <f>SUM(D107)</f>
        <v>0</v>
      </c>
      <c r="E108" s="50">
        <f>SUM(E107)</f>
        <v>0</v>
      </c>
      <c r="F108" s="52">
        <f>SUM(F107)</f>
        <v>0</v>
      </c>
      <c r="G108" s="26"/>
    </row>
    <row r="109" spans="2:7" ht="16.95" customHeight="1">
      <c r="B109" s="304"/>
      <c r="C109" s="304"/>
      <c r="D109" s="304"/>
      <c r="E109" s="304"/>
      <c r="F109" s="304"/>
      <c r="G109" s="304"/>
    </row>
    <row r="110" spans="2:7" ht="53.4" customHeight="1">
      <c r="B110" s="21" t="s">
        <v>83</v>
      </c>
      <c r="C110" s="28"/>
      <c r="D110" s="61">
        <f>D61+D84+D88+D91+D95+D106+D108</f>
        <v>10323.719999999999</v>
      </c>
      <c r="E110" s="61">
        <f>E61+E84+E88+E91+E95+E106+E108</f>
        <v>49488.47</v>
      </c>
      <c r="F110" s="62">
        <f>F61+F84+F88+F91+F95+F106+F108</f>
        <v>315</v>
      </c>
      <c r="G110" s="26"/>
    </row>
    <row r="111" spans="2:7">
      <c r="B111" s="31"/>
      <c r="C111" s="32"/>
      <c r="D111" s="32"/>
      <c r="E111" s="32"/>
      <c r="F111" s="32"/>
    </row>
    <row r="112" spans="2:7">
      <c r="B112" s="31" t="s">
        <v>276</v>
      </c>
    </row>
    <row r="113" spans="2:7" ht="29.4" customHeight="1">
      <c r="B113" s="326" t="s">
        <v>139</v>
      </c>
      <c r="C113" s="326"/>
      <c r="D113" s="326"/>
      <c r="E113" s="326"/>
    </row>
    <row r="114" spans="2:7" ht="15" customHeight="1">
      <c r="B114" s="326" t="s">
        <v>274</v>
      </c>
      <c r="C114" s="326"/>
      <c r="D114" s="326"/>
      <c r="E114" s="326"/>
    </row>
    <row r="115" spans="2:7">
      <c r="B115" s="326" t="s">
        <v>275</v>
      </c>
      <c r="C115" s="326"/>
      <c r="D115" s="326"/>
      <c r="E115" s="326"/>
      <c r="F115" s="326"/>
      <c r="G115" s="326"/>
    </row>
    <row r="116" spans="2:7">
      <c r="B116" s="35"/>
    </row>
    <row r="118" spans="2:7">
      <c r="B118" s="280"/>
      <c r="C118" s="280"/>
      <c r="D118" s="280"/>
    </row>
    <row r="120" spans="2:7" ht="15.75" customHeight="1"/>
  </sheetData>
  <mergeCells count="15">
    <mergeCell ref="B115:E115"/>
    <mergeCell ref="F115:G115"/>
    <mergeCell ref="B118:D118"/>
    <mergeCell ref="B89:B90"/>
    <mergeCell ref="B92:B94"/>
    <mergeCell ref="B96:B105"/>
    <mergeCell ref="B109:G109"/>
    <mergeCell ref="B113:E113"/>
    <mergeCell ref="B114:E114"/>
    <mergeCell ref="B85:G85"/>
    <mergeCell ref="B4:G4"/>
    <mergeCell ref="B5:G5"/>
    <mergeCell ref="B6:G6"/>
    <mergeCell ref="B8:B60"/>
    <mergeCell ref="B62:B8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3C3B-2A17-496B-81EF-11281FD03C8A}">
  <dimension ref="B1:J83"/>
  <sheetViews>
    <sheetView topLeftCell="A66" workbookViewId="0">
      <selection activeCell="D84" sqref="D84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2:10" ht="30" customHeight="1">
      <c r="B1" s="9" t="s">
        <v>4</v>
      </c>
    </row>
    <row r="2" spans="2:10" ht="25.5" customHeight="1">
      <c r="B2" s="9" t="s">
        <v>5</v>
      </c>
      <c r="D2" s="11"/>
      <c r="E2" s="11"/>
    </row>
    <row r="3" spans="2:10" ht="12.75" customHeight="1">
      <c r="B3" s="9"/>
      <c r="D3" s="11"/>
      <c r="E3" s="11"/>
    </row>
    <row r="4" spans="2:10" ht="32.25" customHeight="1">
      <c r="B4" s="298" t="s">
        <v>91</v>
      </c>
      <c r="C4" s="298"/>
      <c r="D4" s="298"/>
      <c r="E4" s="298"/>
      <c r="F4" s="298"/>
      <c r="G4" s="298"/>
    </row>
    <row r="5" spans="2:10" ht="31.5" customHeight="1">
      <c r="B5" s="298" t="s">
        <v>277</v>
      </c>
      <c r="C5" s="298"/>
      <c r="D5" s="298"/>
      <c r="E5" s="298"/>
      <c r="F5" s="298"/>
      <c r="G5" s="298"/>
    </row>
    <row r="6" spans="2:10" ht="26.25" customHeight="1">
      <c r="B6" s="299" t="s">
        <v>8</v>
      </c>
      <c r="C6" s="299"/>
      <c r="D6" s="299"/>
      <c r="E6" s="299"/>
      <c r="F6" s="299"/>
      <c r="G6" s="299"/>
    </row>
    <row r="7" spans="2:10" ht="55.5" customHeight="1">
      <c r="B7" s="12" t="s">
        <v>9</v>
      </c>
      <c r="C7" s="13" t="s">
        <v>10</v>
      </c>
      <c r="D7" s="13" t="s">
        <v>11</v>
      </c>
      <c r="E7" s="13" t="s">
        <v>12</v>
      </c>
      <c r="F7" s="13" t="s">
        <v>2</v>
      </c>
      <c r="G7" s="14" t="s">
        <v>13</v>
      </c>
    </row>
    <row r="8" spans="2:10" ht="36.75" customHeight="1">
      <c r="B8" s="175"/>
      <c r="C8" s="176" t="s">
        <v>278</v>
      </c>
      <c r="D8" s="41">
        <v>561.75</v>
      </c>
      <c r="E8" s="41">
        <v>5.35</v>
      </c>
      <c r="F8" s="36">
        <v>1</v>
      </c>
      <c r="G8" s="36"/>
    </row>
    <row r="9" spans="2:10" ht="29.25" customHeight="1">
      <c r="B9" s="329"/>
      <c r="C9" s="176" t="s">
        <v>279</v>
      </c>
      <c r="D9" s="190"/>
      <c r="E9" s="41">
        <v>5.35</v>
      </c>
      <c r="F9" s="36">
        <v>4</v>
      </c>
      <c r="G9" s="36"/>
    </row>
    <row r="10" spans="2:10" ht="25.5" customHeight="1">
      <c r="B10" s="329"/>
      <c r="C10" s="179" t="s">
        <v>280</v>
      </c>
      <c r="D10" s="41">
        <v>828.42</v>
      </c>
      <c r="E10" s="41">
        <v>3.57</v>
      </c>
      <c r="F10" s="36">
        <v>4</v>
      </c>
      <c r="G10" s="36"/>
    </row>
    <row r="11" spans="2:10" ht="25.5" customHeight="1">
      <c r="B11" s="329"/>
      <c r="C11" s="180" t="s">
        <v>281</v>
      </c>
      <c r="D11" s="41">
        <f>77.47+159.94</f>
        <v>237.41</v>
      </c>
      <c r="E11" s="41">
        <v>3.57</v>
      </c>
      <c r="F11" s="36">
        <v>4</v>
      </c>
      <c r="G11" s="36"/>
    </row>
    <row r="12" spans="2:10" ht="25.5" customHeight="1">
      <c r="B12" s="329"/>
      <c r="C12" s="180" t="s">
        <v>282</v>
      </c>
      <c r="D12" s="190"/>
      <c r="E12" s="41">
        <v>4.16</v>
      </c>
      <c r="F12" s="36">
        <v>4</v>
      </c>
      <c r="G12" s="36"/>
      <c r="H12" s="15"/>
      <c r="I12" s="15"/>
      <c r="J12" s="15"/>
    </row>
    <row r="13" spans="2:10" ht="33" customHeight="1">
      <c r="B13" s="329"/>
      <c r="C13" s="176" t="s">
        <v>283</v>
      </c>
      <c r="D13" s="41">
        <v>75.73</v>
      </c>
      <c r="E13" s="41">
        <v>3.57</v>
      </c>
      <c r="F13" s="36">
        <f>1+1</f>
        <v>2</v>
      </c>
      <c r="G13" s="36"/>
    </row>
    <row r="14" spans="2:10" ht="24.75" customHeight="1">
      <c r="B14" s="329"/>
      <c r="C14" s="181" t="s">
        <v>284</v>
      </c>
      <c r="D14" s="41">
        <v>32.76</v>
      </c>
      <c r="E14" s="190">
        <v>1.25</v>
      </c>
      <c r="F14" s="182">
        <v>3</v>
      </c>
      <c r="G14" s="36"/>
    </row>
    <row r="15" spans="2:10" ht="28.5" customHeight="1">
      <c r="B15" s="329"/>
      <c r="C15" s="181" t="s">
        <v>284</v>
      </c>
      <c r="D15" s="42">
        <v>122.3</v>
      </c>
      <c r="E15" s="190">
        <v>4.16</v>
      </c>
      <c r="F15" s="182">
        <v>2</v>
      </c>
      <c r="G15" s="36"/>
    </row>
    <row r="16" spans="2:10" ht="29.25" customHeight="1">
      <c r="B16" s="329"/>
      <c r="C16" s="176" t="s">
        <v>285</v>
      </c>
      <c r="D16" s="41">
        <f>89.88+47.94</f>
        <v>137.82</v>
      </c>
      <c r="E16" s="190">
        <v>2.14</v>
      </c>
      <c r="F16" s="182">
        <v>3</v>
      </c>
      <c r="G16" s="36"/>
    </row>
    <row r="17" spans="2:7" ht="24" customHeight="1">
      <c r="B17" s="329"/>
      <c r="C17" s="180" t="s">
        <v>286</v>
      </c>
      <c r="D17" s="41"/>
      <c r="E17" s="41">
        <v>3.57</v>
      </c>
      <c r="F17" s="36">
        <v>1</v>
      </c>
      <c r="G17" s="36"/>
    </row>
    <row r="18" spans="2:7" ht="27" customHeight="1">
      <c r="B18" s="329"/>
      <c r="C18" s="180" t="s">
        <v>287</v>
      </c>
      <c r="D18" s="190">
        <f>36+42+28</f>
        <v>106</v>
      </c>
      <c r="E18" s="41">
        <v>1.25</v>
      </c>
      <c r="F18" s="36">
        <f>1+1</f>
        <v>2</v>
      </c>
      <c r="G18" s="36"/>
    </row>
    <row r="19" spans="2:7" ht="27" customHeight="1">
      <c r="B19" s="329"/>
      <c r="C19" s="180" t="s">
        <v>288</v>
      </c>
      <c r="D19" s="41">
        <v>112</v>
      </c>
      <c r="E19" s="41">
        <v>1.25</v>
      </c>
      <c r="F19" s="38">
        <v>1</v>
      </c>
      <c r="G19" s="36"/>
    </row>
    <row r="20" spans="2:7">
      <c r="B20" s="329"/>
      <c r="C20" s="179" t="s">
        <v>288</v>
      </c>
      <c r="D20" s="41">
        <v>524.16</v>
      </c>
      <c r="E20" s="41">
        <v>4.16</v>
      </c>
      <c r="F20" s="38">
        <v>1</v>
      </c>
      <c r="G20" s="36"/>
    </row>
    <row r="21" spans="2:7">
      <c r="B21" s="329"/>
      <c r="C21" s="180" t="s">
        <v>289</v>
      </c>
      <c r="D21" s="190">
        <v>138.69</v>
      </c>
      <c r="E21" s="41">
        <v>3.57</v>
      </c>
      <c r="F21" s="36">
        <v>2</v>
      </c>
      <c r="G21" s="36"/>
    </row>
    <row r="22" spans="2:7">
      <c r="B22" s="329"/>
      <c r="C22" s="180" t="s">
        <v>290</v>
      </c>
      <c r="D22" s="41">
        <v>449.82</v>
      </c>
      <c r="E22" s="41">
        <v>7.14</v>
      </c>
      <c r="F22" s="36">
        <v>1</v>
      </c>
      <c r="G22" s="36"/>
    </row>
    <row r="23" spans="2:7">
      <c r="B23" s="329"/>
      <c r="C23" s="180" t="s">
        <v>291</v>
      </c>
      <c r="D23" s="41">
        <f>14.63+98+23.63</f>
        <v>136.26</v>
      </c>
      <c r="E23" s="41">
        <v>1.25</v>
      </c>
      <c r="F23" s="36">
        <v>3</v>
      </c>
      <c r="G23" s="36"/>
    </row>
    <row r="24" spans="2:7">
      <c r="B24" s="329"/>
      <c r="C24" s="180" t="s">
        <v>291</v>
      </c>
      <c r="D24" s="41"/>
      <c r="E24" s="41">
        <v>4.16</v>
      </c>
      <c r="F24" s="36">
        <v>1</v>
      </c>
      <c r="G24" s="36"/>
    </row>
    <row r="25" spans="2:7">
      <c r="B25" s="329"/>
      <c r="C25" s="180" t="s">
        <v>292</v>
      </c>
      <c r="D25" s="41"/>
      <c r="E25" s="41">
        <v>2.14</v>
      </c>
      <c r="F25" s="36">
        <v>2</v>
      </c>
      <c r="G25" s="36"/>
    </row>
    <row r="26" spans="2:7">
      <c r="B26" s="329"/>
      <c r="C26" s="180" t="s">
        <v>293</v>
      </c>
      <c r="D26" s="41"/>
      <c r="E26" s="41">
        <v>5.35</v>
      </c>
      <c r="F26" s="36">
        <v>1</v>
      </c>
      <c r="G26" s="36"/>
    </row>
    <row r="27" spans="2:7">
      <c r="B27" s="329"/>
      <c r="C27" s="180" t="s">
        <v>294</v>
      </c>
      <c r="D27" s="41">
        <v>69.66</v>
      </c>
      <c r="E27" s="41">
        <v>2.14</v>
      </c>
      <c r="F27" s="36">
        <v>4</v>
      </c>
      <c r="G27" s="36"/>
    </row>
    <row r="28" spans="2:7">
      <c r="B28" s="329"/>
      <c r="C28" s="183" t="s">
        <v>295</v>
      </c>
      <c r="D28" s="41">
        <v>349.86</v>
      </c>
      <c r="E28" s="41">
        <v>3.57</v>
      </c>
      <c r="F28" s="36">
        <v>2</v>
      </c>
      <c r="G28" s="36"/>
    </row>
    <row r="29" spans="2:7">
      <c r="B29" s="329"/>
      <c r="C29" s="183" t="s">
        <v>296</v>
      </c>
      <c r="D29" s="190">
        <v>849.37</v>
      </c>
      <c r="E29" s="41">
        <v>2.14</v>
      </c>
      <c r="F29" s="38">
        <v>1</v>
      </c>
      <c r="G29" s="36"/>
    </row>
    <row r="30" spans="2:7" ht="30" customHeight="1">
      <c r="B30" s="329"/>
      <c r="C30" s="180" t="s">
        <v>297</v>
      </c>
      <c r="D30" s="41">
        <v>187.43</v>
      </c>
      <c r="E30" s="41">
        <v>3.57</v>
      </c>
      <c r="F30" s="36">
        <v>4</v>
      </c>
      <c r="G30" s="36"/>
    </row>
    <row r="31" spans="2:7">
      <c r="B31" s="329"/>
      <c r="C31" s="180" t="s">
        <v>298</v>
      </c>
      <c r="D31" s="41">
        <v>56.92</v>
      </c>
      <c r="E31" s="41">
        <v>2.14</v>
      </c>
      <c r="F31" s="36">
        <v>6</v>
      </c>
      <c r="G31" s="36"/>
    </row>
    <row r="32" spans="2:7">
      <c r="B32" s="329"/>
      <c r="C32" s="180" t="s">
        <v>299</v>
      </c>
      <c r="D32" s="41"/>
      <c r="E32" s="41">
        <v>1.25</v>
      </c>
      <c r="F32" s="36">
        <v>1</v>
      </c>
      <c r="G32" s="36"/>
    </row>
    <row r="33" spans="2:7">
      <c r="B33" s="329"/>
      <c r="C33" s="180" t="s">
        <v>300</v>
      </c>
      <c r="D33" s="41">
        <f>749.7+94.96</f>
        <v>844.66000000000008</v>
      </c>
      <c r="E33" s="41">
        <v>3.57</v>
      </c>
      <c r="F33" s="36">
        <v>5</v>
      </c>
      <c r="G33" s="36"/>
    </row>
    <row r="34" spans="2:7">
      <c r="B34" s="329"/>
      <c r="C34" s="180" t="s">
        <v>301</v>
      </c>
      <c r="D34" s="41"/>
      <c r="E34" s="41">
        <v>4.16</v>
      </c>
      <c r="F34" s="36">
        <v>1</v>
      </c>
      <c r="G34" s="36"/>
    </row>
    <row r="35" spans="2:7">
      <c r="B35" s="329"/>
      <c r="C35" s="184" t="s">
        <v>302</v>
      </c>
      <c r="D35" s="41">
        <f>72.47+82.47</f>
        <v>154.94</v>
      </c>
      <c r="E35" s="41">
        <v>3.57</v>
      </c>
      <c r="F35" s="36">
        <v>6</v>
      </c>
      <c r="G35" s="36"/>
    </row>
    <row r="36" spans="2:7">
      <c r="B36" s="329"/>
      <c r="C36" s="176" t="s">
        <v>303</v>
      </c>
      <c r="D36" s="190">
        <v>519.79</v>
      </c>
      <c r="E36" s="41">
        <v>3.57</v>
      </c>
      <c r="F36" s="36">
        <v>3</v>
      </c>
      <c r="G36" s="36"/>
    </row>
    <row r="37" spans="2:7">
      <c r="B37" s="329"/>
      <c r="C37" s="180" t="s">
        <v>304</v>
      </c>
      <c r="D37" s="41"/>
      <c r="E37" s="41">
        <v>3.57</v>
      </c>
      <c r="F37" s="36">
        <v>5</v>
      </c>
      <c r="G37" s="36"/>
    </row>
    <row r="38" spans="2:7">
      <c r="B38" s="329"/>
      <c r="C38" s="180" t="s">
        <v>305</v>
      </c>
      <c r="D38" s="190"/>
      <c r="E38" s="41">
        <v>1.25</v>
      </c>
      <c r="F38" s="36">
        <v>2</v>
      </c>
      <c r="G38" s="36"/>
    </row>
    <row r="39" spans="2:7">
      <c r="B39" s="329"/>
      <c r="C39" s="180" t="s">
        <v>306</v>
      </c>
      <c r="D39" s="41">
        <v>667.23</v>
      </c>
      <c r="E39" s="41">
        <v>3.57</v>
      </c>
      <c r="F39" s="36">
        <v>4</v>
      </c>
      <c r="G39" s="36"/>
    </row>
    <row r="40" spans="2:7">
      <c r="B40" s="329"/>
      <c r="C40" s="180" t="s">
        <v>307</v>
      </c>
      <c r="D40" s="190">
        <f>72.47+167.79+142.44</f>
        <v>382.7</v>
      </c>
      <c r="E40" s="41">
        <v>3.57</v>
      </c>
      <c r="F40" s="36">
        <v>6</v>
      </c>
      <c r="G40" s="36"/>
    </row>
    <row r="41" spans="2:7">
      <c r="B41" s="329"/>
      <c r="C41" s="183" t="s">
        <v>308</v>
      </c>
      <c r="D41" s="41">
        <f>33.75+28.88</f>
        <v>62.629999999999995</v>
      </c>
      <c r="E41" s="41">
        <v>1.25</v>
      </c>
      <c r="F41" s="36">
        <v>1</v>
      </c>
      <c r="G41" s="36"/>
    </row>
    <row r="42" spans="2:7">
      <c r="B42" s="329"/>
      <c r="C42" s="180" t="s">
        <v>309</v>
      </c>
      <c r="D42" s="41">
        <v>77.47</v>
      </c>
      <c r="E42" s="41">
        <v>3.57</v>
      </c>
      <c r="F42" s="38">
        <v>6</v>
      </c>
      <c r="G42" s="36"/>
    </row>
    <row r="43" spans="2:7">
      <c r="B43" s="329"/>
      <c r="C43" s="180" t="s">
        <v>310</v>
      </c>
      <c r="D43" s="190">
        <f>629.75+202.42</f>
        <v>832.17</v>
      </c>
      <c r="E43" s="41">
        <v>3.57</v>
      </c>
      <c r="F43" s="36">
        <v>4</v>
      </c>
      <c r="G43" s="36"/>
    </row>
    <row r="44" spans="2:7">
      <c r="B44" s="329"/>
      <c r="C44" s="183" t="s">
        <v>311</v>
      </c>
      <c r="D44" s="41">
        <f>39.38+141.75</f>
        <v>181.13</v>
      </c>
      <c r="E44" s="41">
        <v>1.25</v>
      </c>
      <c r="F44" s="36">
        <v>2</v>
      </c>
      <c r="G44" s="36"/>
    </row>
    <row r="45" spans="2:7">
      <c r="B45" s="329"/>
      <c r="C45" s="183" t="s">
        <v>312</v>
      </c>
      <c r="D45" s="41">
        <f>278.63+224.7</f>
        <v>503.33</v>
      </c>
      <c r="E45" s="41">
        <v>2.14</v>
      </c>
      <c r="F45" s="36">
        <v>2</v>
      </c>
      <c r="G45" s="36"/>
    </row>
    <row r="46" spans="2:7">
      <c r="B46" s="329"/>
      <c r="C46" s="180" t="s">
        <v>313</v>
      </c>
      <c r="D46" s="190">
        <f>1502.49+217.96+515.13+55.43</f>
        <v>2291.0099999999998</v>
      </c>
      <c r="E46" s="41">
        <v>2.14</v>
      </c>
      <c r="F46" s="36">
        <v>5</v>
      </c>
      <c r="G46" s="36"/>
    </row>
    <row r="47" spans="2:7">
      <c r="B47" s="329"/>
      <c r="C47" s="180" t="s">
        <v>314</v>
      </c>
      <c r="D47" s="41">
        <f>450.9+223.2</f>
        <v>674.09999999999991</v>
      </c>
      <c r="E47" s="41">
        <v>2.14</v>
      </c>
      <c r="F47" s="36">
        <v>3</v>
      </c>
      <c r="G47" s="36"/>
    </row>
    <row r="48" spans="2:7">
      <c r="B48" s="329"/>
      <c r="C48" s="183" t="s">
        <v>315</v>
      </c>
      <c r="D48" s="41">
        <f>119.84+281.62</f>
        <v>401.46000000000004</v>
      </c>
      <c r="E48" s="41">
        <v>2.14</v>
      </c>
      <c r="F48" s="38">
        <v>4</v>
      </c>
      <c r="G48" s="36"/>
    </row>
    <row r="49" spans="2:7">
      <c r="B49" s="329"/>
      <c r="C49" s="180" t="s">
        <v>316</v>
      </c>
      <c r="D49" s="190">
        <v>278.45999999999998</v>
      </c>
      <c r="E49" s="41">
        <v>3.57</v>
      </c>
      <c r="F49" s="36">
        <f>3+1</f>
        <v>4</v>
      </c>
      <c r="G49" s="36"/>
    </row>
    <row r="50" spans="2:7">
      <c r="B50" s="185"/>
      <c r="C50" s="183" t="s">
        <v>317</v>
      </c>
      <c r="D50" s="41"/>
      <c r="E50" s="41">
        <v>1.25</v>
      </c>
      <c r="F50" s="36">
        <v>1</v>
      </c>
      <c r="G50" s="36"/>
    </row>
    <row r="51" spans="2:7">
      <c r="B51" s="185"/>
      <c r="C51" s="183" t="s">
        <v>318</v>
      </c>
      <c r="D51" s="41"/>
      <c r="E51" s="41">
        <v>2.14</v>
      </c>
      <c r="F51" s="36"/>
      <c r="G51" s="36"/>
    </row>
    <row r="52" spans="2:7">
      <c r="B52" s="191" t="s">
        <v>61</v>
      </c>
      <c r="C52" s="191"/>
      <c r="D52" s="49">
        <f>SUM(D8:D51)</f>
        <v>12847.439999999999</v>
      </c>
      <c r="E52" s="49">
        <f>SUM(E8:E51)</f>
        <v>133.75999999999991</v>
      </c>
      <c r="F52" s="51">
        <f>SUM(F8:F51)</f>
        <v>124</v>
      </c>
      <c r="G52" s="192"/>
    </row>
    <row r="53" spans="2:7" ht="27.6">
      <c r="B53" s="180" t="s">
        <v>62</v>
      </c>
      <c r="C53" s="180" t="s">
        <v>319</v>
      </c>
      <c r="D53" s="41">
        <v>0</v>
      </c>
      <c r="E53" s="41">
        <v>42</v>
      </c>
      <c r="F53" s="46">
        <v>0</v>
      </c>
      <c r="G53" s="36"/>
    </row>
    <row r="54" spans="2:7">
      <c r="B54" s="191" t="s">
        <v>61</v>
      </c>
      <c r="C54" s="191"/>
      <c r="D54" s="49">
        <f>SUM(D53:D53)</f>
        <v>0</v>
      </c>
      <c r="E54" s="49">
        <f>SUM(E53:E53)</f>
        <v>42</v>
      </c>
      <c r="F54" s="51">
        <f>SUM(F53:F53)</f>
        <v>0</v>
      </c>
      <c r="G54" s="192"/>
    </row>
    <row r="55" spans="2:7" ht="18">
      <c r="B55" s="305" t="s">
        <v>66</v>
      </c>
      <c r="C55" s="305"/>
      <c r="D55" s="305"/>
      <c r="E55" s="305"/>
      <c r="F55" s="305"/>
      <c r="G55" s="306"/>
    </row>
    <row r="56" spans="2:7" ht="48">
      <c r="B56" s="13" t="s">
        <v>9</v>
      </c>
      <c r="C56" s="13" t="s">
        <v>67</v>
      </c>
      <c r="D56" s="13" t="s">
        <v>11</v>
      </c>
      <c r="E56" s="13" t="s">
        <v>68</v>
      </c>
      <c r="F56" s="13" t="s">
        <v>2</v>
      </c>
      <c r="G56" s="14" t="s">
        <v>69</v>
      </c>
    </row>
    <row r="57" spans="2:7" ht="28.8">
      <c r="B57" s="23" t="s">
        <v>70</v>
      </c>
      <c r="C57" s="24"/>
      <c r="D57" s="43">
        <v>0</v>
      </c>
      <c r="E57" s="43">
        <v>0</v>
      </c>
      <c r="F57" s="25">
        <v>0</v>
      </c>
      <c r="G57" s="26"/>
    </row>
    <row r="58" spans="2:7" ht="15.6">
      <c r="B58" s="27" t="s">
        <v>61</v>
      </c>
      <c r="C58" s="28"/>
      <c r="D58" s="50">
        <f>SUM(D57)</f>
        <v>0</v>
      </c>
      <c r="E58" s="50">
        <f>SUM(E57)</f>
        <v>0</v>
      </c>
      <c r="F58" s="52">
        <f>SUM(F57)</f>
        <v>0</v>
      </c>
      <c r="G58" s="26"/>
    </row>
    <row r="59" spans="2:7" ht="41.4">
      <c r="B59" s="328" t="s">
        <v>71</v>
      </c>
      <c r="C59" s="186" t="s">
        <v>320</v>
      </c>
      <c r="D59" s="178">
        <f>743.26</f>
        <v>743.26</v>
      </c>
      <c r="E59" s="178">
        <f>13587-85-85</f>
        <v>13417</v>
      </c>
      <c r="F59" s="187">
        <v>170</v>
      </c>
      <c r="G59" s="188" t="s">
        <v>321</v>
      </c>
    </row>
    <row r="60" spans="2:7" ht="41.4">
      <c r="B60" s="330"/>
      <c r="C60" s="186" t="s">
        <v>322</v>
      </c>
      <c r="D60" s="178">
        <f>94.52+565+400+109</f>
        <v>1168.52</v>
      </c>
      <c r="E60" s="178">
        <f>6600-1400</f>
        <v>5200</v>
      </c>
      <c r="F60" s="187">
        <f>53+1</f>
        <v>54</v>
      </c>
      <c r="G60" s="188" t="s">
        <v>323</v>
      </c>
    </row>
    <row r="61" spans="2:7" ht="27.6">
      <c r="B61" s="330"/>
      <c r="C61" s="186" t="s">
        <v>324</v>
      </c>
      <c r="D61" s="189">
        <f>319+50+47+60+57+47+59+61</f>
        <v>700</v>
      </c>
      <c r="E61" s="189">
        <f>1363-44</f>
        <v>1319</v>
      </c>
      <c r="F61" s="187">
        <v>26</v>
      </c>
      <c r="G61" s="188" t="s">
        <v>325</v>
      </c>
    </row>
    <row r="62" spans="2:7" ht="27.6">
      <c r="B62" s="330"/>
      <c r="C62" s="186" t="s">
        <v>326</v>
      </c>
      <c r="D62" s="177">
        <f>182.77+97+98+94+89+95</f>
        <v>655.77</v>
      </c>
      <c r="E62" s="177">
        <v>929</v>
      </c>
      <c r="F62" s="187">
        <v>11</v>
      </c>
      <c r="G62" s="188" t="s">
        <v>325</v>
      </c>
    </row>
    <row r="63" spans="2:7" ht="27.6">
      <c r="B63" s="331"/>
      <c r="C63" s="186" t="s">
        <v>327</v>
      </c>
      <c r="D63" s="177"/>
      <c r="E63" s="177">
        <f>54*52</f>
        <v>2808</v>
      </c>
      <c r="F63" s="187">
        <v>54</v>
      </c>
      <c r="G63" s="188" t="s">
        <v>325</v>
      </c>
    </row>
    <row r="64" spans="2:7">
      <c r="B64" s="191" t="s">
        <v>61</v>
      </c>
      <c r="C64" s="193"/>
      <c r="D64" s="194">
        <f>SUM(D59:D63)</f>
        <v>3267.5499999999997</v>
      </c>
      <c r="E64" s="194">
        <f>SUM(E59:E63)</f>
        <v>23673</v>
      </c>
      <c r="F64" s="198">
        <f>SUM(F59:F63)</f>
        <v>315</v>
      </c>
      <c r="G64" s="195"/>
    </row>
    <row r="65" spans="2:7" ht="27.6">
      <c r="B65" s="328" t="s">
        <v>76</v>
      </c>
      <c r="C65" s="180" t="s">
        <v>328</v>
      </c>
      <c r="D65" s="41">
        <v>1926.97</v>
      </c>
      <c r="E65" s="41">
        <v>1905.99</v>
      </c>
      <c r="F65" s="25">
        <v>1</v>
      </c>
      <c r="G65" s="188" t="s">
        <v>325</v>
      </c>
    </row>
    <row r="66" spans="2:7" ht="27.6">
      <c r="B66" s="325"/>
      <c r="C66" s="180" t="s">
        <v>329</v>
      </c>
      <c r="D66" s="41">
        <v>73252.66</v>
      </c>
      <c r="E66" s="41">
        <v>72671.289999999994</v>
      </c>
      <c r="F66" s="25">
        <v>1</v>
      </c>
      <c r="G66" s="188" t="s">
        <v>325</v>
      </c>
    </row>
    <row r="67" spans="2:7">
      <c r="B67" s="191" t="s">
        <v>61</v>
      </c>
      <c r="C67" s="196"/>
      <c r="D67" s="49">
        <f>SUM(D65+D66)</f>
        <v>75179.63</v>
      </c>
      <c r="E67" s="49">
        <f>SUM(E65:E66)</f>
        <v>74577.279999999999</v>
      </c>
      <c r="F67" s="51">
        <f>SUM(F65:F66)</f>
        <v>2</v>
      </c>
      <c r="G67" s="197"/>
    </row>
    <row r="68" spans="2:7" ht="27.6">
      <c r="B68" s="180" t="s">
        <v>79</v>
      </c>
      <c r="C68" s="180" t="s">
        <v>330</v>
      </c>
      <c r="D68" s="41">
        <v>0</v>
      </c>
      <c r="E68" s="41">
        <v>3083.45</v>
      </c>
      <c r="F68" s="25">
        <v>1</v>
      </c>
      <c r="G68" s="188" t="s">
        <v>325</v>
      </c>
    </row>
    <row r="69" spans="2:7">
      <c r="B69" s="191" t="s">
        <v>61</v>
      </c>
      <c r="C69" s="196"/>
      <c r="D69" s="49">
        <f>D68</f>
        <v>0</v>
      </c>
      <c r="E69" s="49">
        <f>E68</f>
        <v>3083.45</v>
      </c>
      <c r="F69" s="51">
        <f>F68</f>
        <v>1</v>
      </c>
      <c r="G69" s="197"/>
    </row>
    <row r="70" spans="2:7">
      <c r="B70" s="23" t="s">
        <v>82</v>
      </c>
      <c r="C70" s="30"/>
      <c r="D70" s="43">
        <v>0</v>
      </c>
      <c r="E70" s="43">
        <v>0</v>
      </c>
      <c r="F70" s="25">
        <v>0</v>
      </c>
      <c r="G70" s="26"/>
    </row>
    <row r="71" spans="2:7" ht="15.6">
      <c r="B71" s="27" t="s">
        <v>61</v>
      </c>
      <c r="C71" s="28"/>
      <c r="D71" s="50">
        <f>SUM(D70)</f>
        <v>0</v>
      </c>
      <c r="E71" s="50">
        <f>SUM(E70)</f>
        <v>0</v>
      </c>
      <c r="F71" s="52">
        <f>SUM(F70)</f>
        <v>0</v>
      </c>
      <c r="G71" s="26"/>
    </row>
    <row r="72" spans="2:7" ht="15.6">
      <c r="B72" s="304"/>
      <c r="C72" s="304"/>
      <c r="D72" s="304"/>
      <c r="E72" s="304"/>
      <c r="F72" s="304"/>
      <c r="G72" s="304"/>
    </row>
    <row r="73" spans="2:7" ht="30">
      <c r="B73" s="21" t="s">
        <v>83</v>
      </c>
      <c r="C73" s="28"/>
      <c r="D73" s="61">
        <f>D52+D54+D58+D64+D67+D69+D71</f>
        <v>91294.62</v>
      </c>
      <c r="E73" s="61">
        <f>E52+E54+E58+E64+E67+E69+E71</f>
        <v>101509.48999999999</v>
      </c>
      <c r="F73" s="62">
        <f>F52+F54+F58+F64+F67+F69+F71</f>
        <v>442</v>
      </c>
      <c r="G73" s="26"/>
    </row>
    <row r="74" spans="2:7">
      <c r="B74" s="31"/>
      <c r="C74" s="32"/>
      <c r="D74" s="32"/>
      <c r="E74" s="32"/>
      <c r="F74" s="32"/>
    </row>
    <row r="75" spans="2:7">
      <c r="B75" s="31"/>
      <c r="C75" s="32"/>
      <c r="D75" s="32"/>
      <c r="E75" s="32"/>
      <c r="F75" s="32"/>
    </row>
    <row r="76" spans="2:7">
      <c r="B76" s="33" t="s">
        <v>133</v>
      </c>
    </row>
    <row r="77" spans="2:7">
      <c r="B77" s="33"/>
    </row>
    <row r="78" spans="2:7">
      <c r="B78" s="34" t="s">
        <v>134</v>
      </c>
    </row>
    <row r="79" spans="2:7">
      <c r="B79" s="34" t="s">
        <v>331</v>
      </c>
    </row>
    <row r="80" spans="2:7">
      <c r="B80" s="34" t="s">
        <v>332</v>
      </c>
    </row>
    <row r="81" spans="2:4">
      <c r="B81" s="35"/>
    </row>
    <row r="82" spans="2:4">
      <c r="B82" t="s">
        <v>137</v>
      </c>
    </row>
    <row r="83" spans="2:4">
      <c r="B83" s="280"/>
      <c r="C83" s="280"/>
      <c r="D83" s="280"/>
    </row>
  </sheetData>
  <mergeCells count="9">
    <mergeCell ref="B65:B66"/>
    <mergeCell ref="B72:G72"/>
    <mergeCell ref="B83:D83"/>
    <mergeCell ref="B4:G4"/>
    <mergeCell ref="B5:G5"/>
    <mergeCell ref="B6:G6"/>
    <mergeCell ref="B9:B49"/>
    <mergeCell ref="B55:G55"/>
    <mergeCell ref="B59:B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C878-DF49-40EC-ACC2-8EA0D5099D44}">
  <dimension ref="A1:J85"/>
  <sheetViews>
    <sheetView topLeftCell="A70" workbookViewId="0">
      <selection activeCell="G80" sqref="G80"/>
    </sheetView>
  </sheetViews>
  <sheetFormatPr defaultColWidth="9.21875" defaultRowHeight="14.4"/>
  <cols>
    <col min="1" max="1" width="3.44140625" customWidth="1"/>
    <col min="2" max="2" width="45.21875" customWidth="1"/>
    <col min="3" max="3" width="31.21875" style="199" customWidth="1"/>
    <col min="4" max="4" width="16.77734375" style="199" customWidth="1"/>
    <col min="5" max="5" width="24.77734375" style="8" customWidth="1"/>
    <col min="6" max="6" width="15.21875" style="199" customWidth="1"/>
    <col min="7" max="7" width="45.21875" customWidth="1"/>
    <col min="8" max="8" width="37.21875" customWidth="1"/>
    <col min="9" max="9" width="12.77734375" customWidth="1"/>
  </cols>
  <sheetData>
    <row r="1" spans="2:9" ht="30" customHeight="1">
      <c r="B1" s="9" t="s">
        <v>4</v>
      </c>
    </row>
    <row r="2" spans="2:9" ht="25.5" customHeight="1">
      <c r="B2" s="335" t="s">
        <v>333</v>
      </c>
      <c r="D2" s="336"/>
      <c r="E2" s="336"/>
    </row>
    <row r="3" spans="2:9" ht="12.75" customHeight="1">
      <c r="B3" s="9"/>
      <c r="D3" s="336"/>
      <c r="E3" s="336"/>
    </row>
    <row r="4" spans="2:9" ht="32.25" customHeight="1">
      <c r="B4" s="298" t="s">
        <v>557</v>
      </c>
      <c r="C4" s="298"/>
      <c r="D4" s="298"/>
      <c r="E4" s="298"/>
      <c r="F4" s="298"/>
      <c r="G4" s="298"/>
    </row>
    <row r="5" spans="2:9" ht="31.5" customHeight="1">
      <c r="B5" s="298" t="s">
        <v>334</v>
      </c>
      <c r="C5" s="298"/>
      <c r="D5" s="298"/>
      <c r="E5" s="298"/>
      <c r="F5" s="298"/>
      <c r="G5" s="298"/>
    </row>
    <row r="6" spans="2:9" ht="26.25" customHeight="1">
      <c r="B6" s="299" t="s">
        <v>8</v>
      </c>
      <c r="C6" s="299"/>
      <c r="D6" s="299"/>
      <c r="E6" s="299"/>
      <c r="F6" s="299"/>
      <c r="G6" s="299"/>
    </row>
    <row r="7" spans="2:9" ht="63.75" customHeight="1">
      <c r="B7" s="337" t="s">
        <v>9</v>
      </c>
      <c r="C7" s="338" t="s">
        <v>10</v>
      </c>
      <c r="D7" s="338" t="s">
        <v>11</v>
      </c>
      <c r="E7" s="338" t="s">
        <v>12</v>
      </c>
      <c r="F7" s="338" t="s">
        <v>2</v>
      </c>
      <c r="G7" s="338" t="s">
        <v>13</v>
      </c>
    </row>
    <row r="8" spans="2:9" ht="36.75" customHeight="1">
      <c r="B8" s="355" t="s">
        <v>93</v>
      </c>
      <c r="C8" s="18" t="s">
        <v>335</v>
      </c>
      <c r="D8" s="351">
        <v>0</v>
      </c>
      <c r="E8" s="63">
        <v>3.15</v>
      </c>
      <c r="F8" s="101">
        <v>0</v>
      </c>
      <c r="G8" s="37" t="s">
        <v>90</v>
      </c>
    </row>
    <row r="9" spans="2:9" ht="48.6" customHeight="1">
      <c r="B9" s="355"/>
      <c r="C9" s="18" t="s">
        <v>336</v>
      </c>
      <c r="D9" s="351">
        <v>0</v>
      </c>
      <c r="E9" s="63">
        <v>3.15</v>
      </c>
      <c r="F9" s="101">
        <v>3</v>
      </c>
      <c r="G9" s="341"/>
      <c r="H9" s="342"/>
    </row>
    <row r="10" spans="2:9" ht="36.75" customHeight="1">
      <c r="B10" s="355"/>
      <c r="C10" s="18" t="s">
        <v>337</v>
      </c>
      <c r="D10" s="351">
        <v>0</v>
      </c>
      <c r="E10" s="63">
        <v>3.15</v>
      </c>
      <c r="F10" s="101">
        <v>1</v>
      </c>
      <c r="G10" s="341"/>
      <c r="H10" s="342"/>
    </row>
    <row r="11" spans="2:9" ht="36.75" customHeight="1">
      <c r="B11" s="355"/>
      <c r="C11" s="18" t="s">
        <v>338</v>
      </c>
      <c r="D11" s="351">
        <v>0</v>
      </c>
      <c r="E11" s="63">
        <v>2.25</v>
      </c>
      <c r="F11" s="101">
        <v>0</v>
      </c>
      <c r="G11" s="37" t="s">
        <v>90</v>
      </c>
      <c r="H11" s="342"/>
    </row>
    <row r="12" spans="2:9" ht="36.75" customHeight="1">
      <c r="B12" s="355"/>
      <c r="C12" s="18" t="s">
        <v>339</v>
      </c>
      <c r="D12" s="351">
        <v>0</v>
      </c>
      <c r="E12" s="63">
        <v>2.25</v>
      </c>
      <c r="F12" s="101">
        <f>2+1+1</f>
        <v>4</v>
      </c>
      <c r="G12" s="341"/>
      <c r="I12" s="342"/>
    </row>
    <row r="13" spans="2:9" ht="36.75" customHeight="1">
      <c r="B13" s="355"/>
      <c r="C13" s="18" t="s">
        <v>340</v>
      </c>
      <c r="D13" s="202">
        <v>0</v>
      </c>
      <c r="E13" s="63">
        <v>3.15</v>
      </c>
      <c r="F13" s="101">
        <f>(1+5)+(1+1+1+1+1+1)</f>
        <v>12</v>
      </c>
      <c r="G13" s="341"/>
      <c r="H13" s="342"/>
    </row>
    <row r="14" spans="2:9" ht="36.75" customHeight="1">
      <c r="B14" s="355"/>
      <c r="C14" s="18" t="s">
        <v>341</v>
      </c>
      <c r="D14" s="351">
        <v>0</v>
      </c>
      <c r="E14" s="352">
        <v>2.25</v>
      </c>
      <c r="F14" s="101">
        <f>(4+1)+(7+1+1)</f>
        <v>14</v>
      </c>
      <c r="G14" s="341"/>
      <c r="H14" s="342"/>
    </row>
    <row r="15" spans="2:9" ht="36.75" customHeight="1">
      <c r="B15" s="355"/>
      <c r="C15" s="18" t="s">
        <v>342</v>
      </c>
      <c r="D15" s="351">
        <v>0</v>
      </c>
      <c r="E15" s="63">
        <v>2.5499999999999998</v>
      </c>
      <c r="F15" s="101">
        <f>(5+1+1)+(5)</f>
        <v>12</v>
      </c>
      <c r="G15" s="341"/>
    </row>
    <row r="16" spans="2:9" ht="36.75" customHeight="1">
      <c r="B16" s="355"/>
      <c r="C16" s="18" t="s">
        <v>343</v>
      </c>
      <c r="D16" s="351">
        <v>0</v>
      </c>
      <c r="E16" s="63">
        <v>2.25</v>
      </c>
      <c r="F16" s="101">
        <f>(2+1)+2+2</f>
        <v>7</v>
      </c>
      <c r="G16" s="341"/>
    </row>
    <row r="17" spans="2:9" ht="36.75" customHeight="1">
      <c r="B17" s="355"/>
      <c r="C17" s="18" t="s">
        <v>344</v>
      </c>
      <c r="D17" s="351">
        <v>0</v>
      </c>
      <c r="E17" s="63">
        <v>2.25</v>
      </c>
      <c r="F17" s="101">
        <v>1</v>
      </c>
      <c r="G17" s="340"/>
    </row>
    <row r="18" spans="2:9" ht="36.75" customHeight="1">
      <c r="B18" s="355"/>
      <c r="C18" s="18" t="s">
        <v>345</v>
      </c>
      <c r="D18" s="351">
        <v>0</v>
      </c>
      <c r="E18" s="63">
        <v>3.15</v>
      </c>
      <c r="F18" s="101">
        <f>5+5+1</f>
        <v>11</v>
      </c>
      <c r="G18" s="341"/>
      <c r="H18" s="342"/>
    </row>
    <row r="19" spans="2:9" ht="36.75" customHeight="1">
      <c r="B19" s="355"/>
      <c r="C19" s="18" t="s">
        <v>346</v>
      </c>
      <c r="D19" s="351">
        <v>0</v>
      </c>
      <c r="E19" s="63">
        <v>2.25</v>
      </c>
      <c r="F19" s="101">
        <v>0</v>
      </c>
      <c r="G19" s="37" t="s">
        <v>90</v>
      </c>
      <c r="H19" s="342"/>
    </row>
    <row r="20" spans="2:9" ht="49.8" customHeight="1">
      <c r="B20" s="355"/>
      <c r="C20" s="18" t="s">
        <v>347</v>
      </c>
      <c r="D20" s="351">
        <v>0</v>
      </c>
      <c r="E20" s="63">
        <v>2.25</v>
      </c>
      <c r="F20" s="101">
        <f>1+4</f>
        <v>5</v>
      </c>
      <c r="G20" s="341"/>
    </row>
    <row r="21" spans="2:9" ht="36.75" customHeight="1">
      <c r="B21" s="355"/>
      <c r="C21" s="18" t="s">
        <v>348</v>
      </c>
      <c r="D21" s="351">
        <v>0</v>
      </c>
      <c r="E21" s="63">
        <v>2.25</v>
      </c>
      <c r="F21" s="101">
        <f>2+1</f>
        <v>3</v>
      </c>
      <c r="G21" s="340"/>
      <c r="I21" s="343"/>
    </row>
    <row r="22" spans="2:9" ht="36.75" customHeight="1">
      <c r="B22" s="355"/>
      <c r="C22" s="18" t="s">
        <v>349</v>
      </c>
      <c r="D22" s="351">
        <v>0</v>
      </c>
      <c r="E22" s="63">
        <v>3.15</v>
      </c>
      <c r="F22" s="101">
        <f>1+1+1+1</f>
        <v>4</v>
      </c>
      <c r="G22" s="340"/>
    </row>
    <row r="23" spans="2:9" ht="45.6" customHeight="1">
      <c r="B23" s="355"/>
      <c r="C23" s="18" t="s">
        <v>350</v>
      </c>
      <c r="D23" s="202">
        <v>0</v>
      </c>
      <c r="E23" s="63">
        <v>3.15</v>
      </c>
      <c r="F23" s="101">
        <f>(1+1+1+1)+1+(2+2)</f>
        <v>9</v>
      </c>
      <c r="G23" s="341"/>
      <c r="H23" s="342"/>
    </row>
    <row r="24" spans="2:9" ht="45.6" customHeight="1">
      <c r="B24" s="355"/>
      <c r="C24" s="18" t="s">
        <v>351</v>
      </c>
      <c r="D24" s="351">
        <v>0</v>
      </c>
      <c r="E24" s="63">
        <v>2.25</v>
      </c>
      <c r="F24" s="101">
        <f>3+1+(1+1+1)</f>
        <v>7</v>
      </c>
      <c r="G24" s="341"/>
    </row>
    <row r="25" spans="2:9" ht="36.75" customHeight="1">
      <c r="B25" s="355"/>
      <c r="C25" s="18" t="s">
        <v>352</v>
      </c>
      <c r="D25" s="351">
        <v>0</v>
      </c>
      <c r="E25" s="63">
        <v>2.25</v>
      </c>
      <c r="F25" s="101">
        <v>1</v>
      </c>
      <c r="G25" s="341"/>
    </row>
    <row r="26" spans="2:9" ht="45.6" customHeight="1">
      <c r="B26" s="355"/>
      <c r="C26" s="18" t="s">
        <v>353</v>
      </c>
      <c r="D26" s="351">
        <v>0</v>
      </c>
      <c r="E26" s="63">
        <v>2.25</v>
      </c>
      <c r="F26" s="101">
        <v>1</v>
      </c>
      <c r="G26" s="341"/>
    </row>
    <row r="27" spans="2:9" ht="36.75" customHeight="1">
      <c r="B27" s="355"/>
      <c r="C27" s="18" t="s">
        <v>354</v>
      </c>
      <c r="D27" s="351">
        <v>0</v>
      </c>
      <c r="E27" s="63">
        <v>3.15</v>
      </c>
      <c r="F27" s="101">
        <v>1</v>
      </c>
      <c r="G27" s="341"/>
    </row>
    <row r="28" spans="2:9" ht="36.75" customHeight="1">
      <c r="B28" s="355"/>
      <c r="C28" s="18" t="s">
        <v>355</v>
      </c>
      <c r="D28" s="351">
        <v>0</v>
      </c>
      <c r="E28" s="63">
        <v>3.15</v>
      </c>
      <c r="F28" s="101">
        <v>1</v>
      </c>
      <c r="G28" s="341"/>
    </row>
    <row r="29" spans="2:9" ht="36.75" customHeight="1">
      <c r="B29" s="355"/>
      <c r="C29" s="18" t="s">
        <v>356</v>
      </c>
      <c r="D29" s="351">
        <v>0</v>
      </c>
      <c r="E29" s="63">
        <v>2.25</v>
      </c>
      <c r="F29" s="101">
        <v>0</v>
      </c>
      <c r="G29" s="37" t="s">
        <v>90</v>
      </c>
    </row>
    <row r="30" spans="2:9" ht="36.75" customHeight="1">
      <c r="B30" s="355"/>
      <c r="C30" s="18" t="s">
        <v>357</v>
      </c>
      <c r="D30" s="351">
        <v>0</v>
      </c>
      <c r="E30" s="63">
        <v>3.15</v>
      </c>
      <c r="F30" s="101">
        <v>0</v>
      </c>
      <c r="G30" s="37" t="s">
        <v>90</v>
      </c>
    </row>
    <row r="31" spans="2:9" ht="36.75" customHeight="1">
      <c r="B31" s="355"/>
      <c r="C31" s="18" t="s">
        <v>358</v>
      </c>
      <c r="D31" s="351">
        <v>0</v>
      </c>
      <c r="E31" s="63">
        <v>2.25</v>
      </c>
      <c r="F31" s="101">
        <v>0</v>
      </c>
      <c r="G31" s="37" t="s">
        <v>90</v>
      </c>
    </row>
    <row r="32" spans="2:9" ht="36.75" customHeight="1">
      <c r="B32" s="355"/>
      <c r="C32" s="18" t="s">
        <v>359</v>
      </c>
      <c r="D32" s="351">
        <v>0</v>
      </c>
      <c r="E32" s="63">
        <v>3.15</v>
      </c>
      <c r="F32" s="101">
        <v>0</v>
      </c>
      <c r="G32" s="37" t="s">
        <v>90</v>
      </c>
    </row>
    <row r="33" spans="2:9" ht="36.75" customHeight="1">
      <c r="B33" s="355"/>
      <c r="C33" s="18" t="s">
        <v>360</v>
      </c>
      <c r="D33" s="351">
        <v>0</v>
      </c>
      <c r="E33" s="63">
        <v>3.15</v>
      </c>
      <c r="F33" s="101">
        <v>1</v>
      </c>
      <c r="G33" s="341"/>
      <c r="H33" s="342"/>
      <c r="I33" s="31"/>
    </row>
    <row r="34" spans="2:9" ht="36.75" customHeight="1">
      <c r="B34" s="355"/>
      <c r="C34" s="18" t="s">
        <v>361</v>
      </c>
      <c r="D34" s="202">
        <v>0</v>
      </c>
      <c r="E34" s="63">
        <v>4.5</v>
      </c>
      <c r="F34" s="101">
        <f>5+3+4</f>
        <v>12</v>
      </c>
      <c r="G34" s="341"/>
      <c r="H34" s="342"/>
      <c r="I34" s="31"/>
    </row>
    <row r="35" spans="2:9" ht="36.75" customHeight="1">
      <c r="B35" s="355"/>
      <c r="C35" s="18" t="s">
        <v>362</v>
      </c>
      <c r="D35" s="351">
        <v>0</v>
      </c>
      <c r="E35" s="63">
        <v>3.15</v>
      </c>
      <c r="F35" s="101">
        <f>1+2</f>
        <v>3</v>
      </c>
      <c r="G35" s="341"/>
      <c r="H35" s="342"/>
    </row>
    <row r="36" spans="2:9" ht="36.75" customHeight="1">
      <c r="B36" s="355"/>
      <c r="C36" s="18" t="s">
        <v>363</v>
      </c>
      <c r="D36" s="351">
        <v>0</v>
      </c>
      <c r="E36" s="63">
        <v>2.25</v>
      </c>
      <c r="F36" s="101">
        <f>1+4</f>
        <v>5</v>
      </c>
      <c r="G36" s="341"/>
      <c r="H36" s="342"/>
    </row>
    <row r="37" spans="2:9" ht="36.75" customHeight="1">
      <c r="B37" s="355"/>
      <c r="C37" s="18" t="s">
        <v>364</v>
      </c>
      <c r="D37" s="351">
        <v>0</v>
      </c>
      <c r="E37" s="63">
        <v>3.15</v>
      </c>
      <c r="F37" s="101">
        <f>(1+7+1)+5</f>
        <v>14</v>
      </c>
      <c r="G37" s="341"/>
      <c r="H37" s="339"/>
    </row>
    <row r="38" spans="2:9" ht="36.75" customHeight="1">
      <c r="B38" s="355"/>
      <c r="C38" s="18" t="s">
        <v>365</v>
      </c>
      <c r="D38" s="351">
        <v>0</v>
      </c>
      <c r="E38" s="63">
        <v>2.25</v>
      </c>
      <c r="F38" s="101">
        <v>0</v>
      </c>
      <c r="G38" s="37" t="s">
        <v>90</v>
      </c>
    </row>
    <row r="39" spans="2:9" ht="36.75" customHeight="1">
      <c r="B39" s="355"/>
      <c r="C39" s="18" t="s">
        <v>366</v>
      </c>
      <c r="D39" s="351">
        <v>0</v>
      </c>
      <c r="E39" s="63">
        <v>2.25</v>
      </c>
      <c r="F39" s="101">
        <v>0</v>
      </c>
      <c r="G39" s="37" t="s">
        <v>90</v>
      </c>
      <c r="I39" s="343"/>
    </row>
    <row r="40" spans="2:9" ht="36.75" customHeight="1">
      <c r="B40" s="355"/>
      <c r="C40" s="18" t="s">
        <v>367</v>
      </c>
      <c r="D40" s="351">
        <v>0</v>
      </c>
      <c r="E40" s="63">
        <v>4.5</v>
      </c>
      <c r="F40" s="101">
        <f>3+3</f>
        <v>6</v>
      </c>
      <c r="G40" s="341"/>
    </row>
    <row r="41" spans="2:9" ht="36.75" customHeight="1">
      <c r="B41" s="355"/>
      <c r="C41" s="18" t="s">
        <v>368</v>
      </c>
      <c r="D41" s="351">
        <v>0</v>
      </c>
      <c r="E41" s="63">
        <v>4.5</v>
      </c>
      <c r="F41" s="101">
        <f>5+4</f>
        <v>9</v>
      </c>
      <c r="G41" s="341"/>
      <c r="H41" s="342"/>
      <c r="I41" s="343"/>
    </row>
    <row r="42" spans="2:9" ht="36.75" customHeight="1">
      <c r="B42" s="355"/>
      <c r="C42" s="18" t="s">
        <v>369</v>
      </c>
      <c r="D42" s="59">
        <v>0</v>
      </c>
      <c r="E42" s="63">
        <v>3.15</v>
      </c>
      <c r="F42" s="101">
        <f>(1+1)+2</f>
        <v>4</v>
      </c>
      <c r="G42" s="341"/>
      <c r="H42" s="342"/>
    </row>
    <row r="43" spans="2:9" ht="36.75" customHeight="1">
      <c r="B43" s="355"/>
      <c r="C43" s="18" t="s">
        <v>370</v>
      </c>
      <c r="D43" s="59">
        <v>0</v>
      </c>
      <c r="E43" s="63">
        <v>3.15</v>
      </c>
      <c r="F43" s="101">
        <f>(1+2)+4</f>
        <v>7</v>
      </c>
      <c r="G43" s="341"/>
    </row>
    <row r="44" spans="2:9" ht="36.75" customHeight="1">
      <c r="B44" s="355"/>
      <c r="C44" s="18" t="s">
        <v>371</v>
      </c>
      <c r="D44" s="351">
        <v>0</v>
      </c>
      <c r="E44" s="63">
        <v>3.15</v>
      </c>
      <c r="F44" s="101">
        <f>2+3+1</f>
        <v>6</v>
      </c>
      <c r="G44" s="341"/>
      <c r="H44" s="342"/>
    </row>
    <row r="45" spans="2:9" ht="36.75" customHeight="1">
      <c r="B45" s="355"/>
      <c r="C45" s="18" t="s">
        <v>372</v>
      </c>
      <c r="D45" s="351">
        <v>0</v>
      </c>
      <c r="E45" s="63">
        <v>2.25</v>
      </c>
      <c r="F45" s="101">
        <f>3</f>
        <v>3</v>
      </c>
      <c r="G45" s="341"/>
    </row>
    <row r="46" spans="2:9" ht="36.75" customHeight="1">
      <c r="B46" s="355"/>
      <c r="C46" s="18" t="s">
        <v>373</v>
      </c>
      <c r="D46" s="351">
        <v>0</v>
      </c>
      <c r="E46" s="63">
        <v>3.15</v>
      </c>
      <c r="F46" s="101">
        <f>1+2</f>
        <v>3</v>
      </c>
      <c r="G46" s="341"/>
      <c r="H46" s="342"/>
    </row>
    <row r="47" spans="2:9" ht="36.75" customHeight="1">
      <c r="B47" s="355"/>
      <c r="C47" s="18" t="s">
        <v>374</v>
      </c>
      <c r="D47" s="202">
        <v>0</v>
      </c>
      <c r="E47" s="63">
        <v>3.15</v>
      </c>
      <c r="F47" s="101">
        <f>(1+1)+3</f>
        <v>5</v>
      </c>
      <c r="G47" s="341"/>
      <c r="H47" s="342"/>
    </row>
    <row r="48" spans="2:9" ht="36.75" customHeight="1">
      <c r="B48" s="344"/>
      <c r="C48" s="18" t="s">
        <v>375</v>
      </c>
      <c r="D48" s="351">
        <v>0</v>
      </c>
      <c r="E48" s="63">
        <v>3.15</v>
      </c>
      <c r="F48" s="101">
        <f>3+2+1</f>
        <v>6</v>
      </c>
      <c r="G48" s="341"/>
    </row>
    <row r="49" spans="1:10" ht="36.75" customHeight="1">
      <c r="B49" s="344"/>
      <c r="C49" s="18" t="s">
        <v>376</v>
      </c>
      <c r="D49" s="351">
        <v>0</v>
      </c>
      <c r="E49" s="63">
        <v>2.25</v>
      </c>
      <c r="F49" s="101">
        <f>1</f>
        <v>1</v>
      </c>
      <c r="G49" s="341"/>
    </row>
    <row r="50" spans="1:10" ht="45" customHeight="1">
      <c r="B50" s="17" t="s">
        <v>61</v>
      </c>
      <c r="C50" s="18"/>
      <c r="D50" s="56">
        <f>SUM(D8:D49)</f>
        <v>0</v>
      </c>
      <c r="E50" s="56">
        <f>SUM(E8:E49)</f>
        <v>119.55000000000004</v>
      </c>
      <c r="F50" s="19">
        <f>SUM(F8:F48)</f>
        <v>181</v>
      </c>
      <c r="G50" s="20"/>
    </row>
    <row r="51" spans="1:10" ht="42.75" customHeight="1">
      <c r="B51" s="358" t="s">
        <v>62</v>
      </c>
      <c r="C51" s="341" t="s">
        <v>377</v>
      </c>
      <c r="D51" s="59">
        <v>0</v>
      </c>
      <c r="E51" s="63">
        <v>113</v>
      </c>
      <c r="F51" s="101">
        <v>0</v>
      </c>
      <c r="G51" s="37" t="s">
        <v>90</v>
      </c>
    </row>
    <row r="52" spans="1:10" ht="35.25" customHeight="1">
      <c r="B52" s="355"/>
      <c r="C52" s="341" t="s">
        <v>378</v>
      </c>
      <c r="D52" s="59">
        <v>0</v>
      </c>
      <c r="E52" s="63">
        <v>31.7</v>
      </c>
      <c r="F52" s="101">
        <v>0</v>
      </c>
      <c r="G52" s="37" t="s">
        <v>90</v>
      </c>
    </row>
    <row r="53" spans="1:10" ht="34.5" customHeight="1">
      <c r="B53" s="355"/>
      <c r="C53" s="341" t="s">
        <v>379</v>
      </c>
      <c r="D53" s="59">
        <v>101.4</v>
      </c>
      <c r="E53" s="63">
        <v>16.5</v>
      </c>
      <c r="F53" s="101">
        <v>6</v>
      </c>
      <c r="G53" s="345"/>
      <c r="H53" s="342"/>
    </row>
    <row r="54" spans="1:10" ht="42" customHeight="1">
      <c r="B54" s="355"/>
      <c r="C54" s="341" t="s">
        <v>380</v>
      </c>
      <c r="D54" s="59">
        <v>47.5</v>
      </c>
      <c r="E54" s="63">
        <v>47.5</v>
      </c>
      <c r="F54" s="101">
        <v>1</v>
      </c>
      <c r="G54" s="345"/>
      <c r="H54" s="15"/>
      <c r="I54" s="15"/>
      <c r="J54" s="15"/>
    </row>
    <row r="55" spans="1:10" ht="42" customHeight="1">
      <c r="B55" s="359"/>
      <c r="C55" s="341" t="s">
        <v>381</v>
      </c>
      <c r="D55" s="59">
        <v>0</v>
      </c>
      <c r="E55" s="63">
        <v>16.5</v>
      </c>
      <c r="F55" s="354">
        <v>0</v>
      </c>
      <c r="G55" s="37" t="s">
        <v>90</v>
      </c>
      <c r="H55" s="346"/>
      <c r="I55" s="15"/>
      <c r="J55" s="15"/>
    </row>
    <row r="56" spans="1:10" ht="42" customHeight="1">
      <c r="B56" s="201"/>
      <c r="C56" s="341" t="s">
        <v>382</v>
      </c>
      <c r="D56" s="59">
        <v>0</v>
      </c>
      <c r="E56" s="63">
        <v>16.5</v>
      </c>
      <c r="F56" s="101">
        <v>0</v>
      </c>
      <c r="G56" s="37" t="s">
        <v>90</v>
      </c>
      <c r="H56" s="15"/>
      <c r="I56" s="15"/>
      <c r="J56" s="15"/>
    </row>
    <row r="57" spans="1:10" ht="34.5" customHeight="1">
      <c r="B57" s="21" t="s">
        <v>61</v>
      </c>
      <c r="C57" s="338"/>
      <c r="D57" s="56">
        <f>SUM(D51:D56)</f>
        <v>148.9</v>
      </c>
      <c r="E57" s="56">
        <f>SUM(E51:E56)</f>
        <v>241.7</v>
      </c>
      <c r="F57" s="19">
        <f>SUM(F51:F56)</f>
        <v>7</v>
      </c>
      <c r="G57" s="20"/>
      <c r="H57" s="15"/>
      <c r="I57" s="15"/>
      <c r="J57" s="15"/>
    </row>
    <row r="58" spans="1:10" ht="31.5" customHeight="1">
      <c r="B58" s="305" t="s">
        <v>66</v>
      </c>
      <c r="C58" s="305"/>
      <c r="D58" s="305"/>
      <c r="E58" s="305"/>
      <c r="F58" s="305"/>
      <c r="G58" s="306"/>
    </row>
    <row r="59" spans="1:10" ht="65.25" customHeight="1">
      <c r="A59" s="8"/>
      <c r="B59" s="338" t="s">
        <v>9</v>
      </c>
      <c r="C59" s="338" t="s">
        <v>67</v>
      </c>
      <c r="D59" s="338" t="s">
        <v>254</v>
      </c>
      <c r="E59" s="338" t="s">
        <v>68</v>
      </c>
      <c r="F59" s="338" t="s">
        <v>2</v>
      </c>
      <c r="G59" s="338" t="s">
        <v>69</v>
      </c>
    </row>
    <row r="60" spans="1:10" ht="33" customHeight="1">
      <c r="B60" s="360" t="s">
        <v>70</v>
      </c>
      <c r="C60" s="18" t="s">
        <v>383</v>
      </c>
      <c r="D60" s="59">
        <v>0</v>
      </c>
      <c r="E60" s="59">
        <v>2325</v>
      </c>
      <c r="F60" s="25">
        <v>1</v>
      </c>
      <c r="G60" s="345"/>
    </row>
    <row r="61" spans="1:10" ht="33" customHeight="1">
      <c r="B61" s="361"/>
      <c r="C61" s="18" t="s">
        <v>384</v>
      </c>
      <c r="D61" s="59">
        <v>0</v>
      </c>
      <c r="E61" s="59">
        <v>0</v>
      </c>
      <c r="F61" s="25">
        <v>1</v>
      </c>
      <c r="G61" s="365" t="s">
        <v>391</v>
      </c>
    </row>
    <row r="62" spans="1:10" ht="33" customHeight="1">
      <c r="B62" s="362"/>
      <c r="C62" s="18" t="s">
        <v>385</v>
      </c>
      <c r="D62" s="59">
        <v>0</v>
      </c>
      <c r="E62" s="59">
        <v>0</v>
      </c>
      <c r="F62" s="25">
        <v>1</v>
      </c>
      <c r="G62" s="365" t="s">
        <v>391</v>
      </c>
    </row>
    <row r="63" spans="1:10" ht="21.75" customHeight="1">
      <c r="B63" s="27" t="s">
        <v>61</v>
      </c>
      <c r="C63" s="347"/>
      <c r="D63" s="56">
        <f>SUM(D60:D62)</f>
        <v>0</v>
      </c>
      <c r="E63" s="56">
        <f>SUM(E60:E62)</f>
        <v>2325</v>
      </c>
      <c r="F63" s="348">
        <f>SUM(F60:F62)</f>
        <v>3</v>
      </c>
      <c r="G63" s="26"/>
    </row>
    <row r="64" spans="1:10" ht="27.75" customHeight="1">
      <c r="B64" s="356" t="s">
        <v>71</v>
      </c>
      <c r="C64" s="18" t="s">
        <v>386</v>
      </c>
      <c r="D64" s="59">
        <v>0</v>
      </c>
      <c r="E64" s="59">
        <v>2603</v>
      </c>
      <c r="F64" s="25">
        <v>55</v>
      </c>
      <c r="G64" s="349"/>
      <c r="H64" s="342"/>
    </row>
    <row r="65" spans="2:9" ht="28.5" customHeight="1">
      <c r="B65" s="357"/>
      <c r="C65" s="18" t="s">
        <v>387</v>
      </c>
      <c r="D65" s="351">
        <v>0</v>
      </c>
      <c r="E65" s="59">
        <v>1188.72</v>
      </c>
      <c r="F65" s="25">
        <v>40</v>
      </c>
      <c r="G65" s="349"/>
      <c r="H65" s="342"/>
      <c r="I65" s="342"/>
    </row>
    <row r="66" spans="2:9" ht="29.25" customHeight="1">
      <c r="B66" s="27" t="s">
        <v>61</v>
      </c>
      <c r="C66" s="28"/>
      <c r="D66" s="56">
        <f>SUM(D64:D65)</f>
        <v>0</v>
      </c>
      <c r="E66" s="56">
        <f>SUM(E64:E65)</f>
        <v>3791.7200000000003</v>
      </c>
      <c r="F66" s="350">
        <f>F64+F65</f>
        <v>95</v>
      </c>
      <c r="G66" s="26"/>
    </row>
    <row r="67" spans="2:9" ht="24" customHeight="1">
      <c r="B67" s="363" t="s">
        <v>76</v>
      </c>
      <c r="C67" s="24"/>
      <c r="D67" s="43">
        <v>0</v>
      </c>
      <c r="E67" s="43">
        <v>0</v>
      </c>
      <c r="F67" s="25">
        <v>0</v>
      </c>
      <c r="G67" s="37" t="s">
        <v>90</v>
      </c>
    </row>
    <row r="68" spans="2:9" ht="27" customHeight="1">
      <c r="B68" s="27" t="s">
        <v>61</v>
      </c>
      <c r="C68" s="347"/>
      <c r="D68" s="49">
        <f>D67</f>
        <v>0</v>
      </c>
      <c r="E68" s="49">
        <f>E67</f>
        <v>0</v>
      </c>
      <c r="F68" s="51">
        <f>F67</f>
        <v>0</v>
      </c>
      <c r="G68" s="26"/>
    </row>
    <row r="69" spans="2:9" ht="33" customHeight="1">
      <c r="B69" s="363" t="s">
        <v>79</v>
      </c>
      <c r="C69" s="24"/>
      <c r="D69" s="43">
        <v>0</v>
      </c>
      <c r="E69" s="43">
        <v>0</v>
      </c>
      <c r="F69" s="25">
        <v>0</v>
      </c>
      <c r="G69" s="37" t="s">
        <v>90</v>
      </c>
    </row>
    <row r="70" spans="2:9" ht="24.75" customHeight="1">
      <c r="B70" s="27" t="s">
        <v>61</v>
      </c>
      <c r="C70" s="347"/>
      <c r="D70" s="49">
        <f>D69</f>
        <v>0</v>
      </c>
      <c r="E70" s="49">
        <f>E69</f>
        <v>0</v>
      </c>
      <c r="F70" s="51">
        <f>F69</f>
        <v>0</v>
      </c>
      <c r="G70" s="26"/>
    </row>
    <row r="71" spans="2:9" ht="30.75" customHeight="1">
      <c r="B71" s="363" t="s">
        <v>82</v>
      </c>
      <c r="C71" s="30"/>
      <c r="D71" s="43">
        <v>0</v>
      </c>
      <c r="E71" s="43">
        <v>0</v>
      </c>
      <c r="F71" s="25">
        <v>0</v>
      </c>
      <c r="G71" s="37" t="s">
        <v>90</v>
      </c>
    </row>
    <row r="72" spans="2:9" ht="15.6">
      <c r="B72" s="27" t="s">
        <v>61</v>
      </c>
      <c r="C72" s="347"/>
      <c r="D72" s="49">
        <f>D71</f>
        <v>0</v>
      </c>
      <c r="E72" s="49">
        <f>E71</f>
        <v>0</v>
      </c>
      <c r="F72" s="51">
        <f>F71</f>
        <v>0</v>
      </c>
      <c r="G72" s="26"/>
    </row>
    <row r="73" spans="2:9" ht="17.25" customHeight="1">
      <c r="B73" s="304"/>
      <c r="C73" s="304"/>
      <c r="D73" s="304"/>
      <c r="E73" s="304"/>
      <c r="F73" s="304"/>
      <c r="G73" s="304"/>
    </row>
    <row r="74" spans="2:9" ht="33" customHeight="1">
      <c r="B74" s="21" t="s">
        <v>83</v>
      </c>
      <c r="C74" s="28"/>
      <c r="D74" s="353">
        <f>D50+D57+D63+D66+D68+D70+D72</f>
        <v>148.9</v>
      </c>
      <c r="E74" s="353">
        <f>E50+E57+E63+E66+E68+E70+E72</f>
        <v>6477.97</v>
      </c>
      <c r="F74" s="364">
        <f>F50+F57+F63+F66+F68+F70+F72</f>
        <v>286</v>
      </c>
      <c r="G74" s="26"/>
    </row>
    <row r="75" spans="2:9">
      <c r="B75" s="31"/>
      <c r="C75" s="32"/>
      <c r="D75" s="32"/>
      <c r="E75" s="32"/>
      <c r="F75" s="32"/>
    </row>
    <row r="76" spans="2:9">
      <c r="B76" s="31"/>
      <c r="C76" s="32"/>
      <c r="D76" s="32"/>
      <c r="E76" s="32"/>
      <c r="F76" s="32"/>
    </row>
    <row r="77" spans="2:9">
      <c r="B77" s="33" t="s">
        <v>558</v>
      </c>
    </row>
    <row r="78" spans="2:9">
      <c r="B78" s="33"/>
    </row>
    <row r="79" spans="2:9">
      <c r="B79" s="35" t="s">
        <v>388</v>
      </c>
    </row>
    <row r="80" spans="2:9">
      <c r="B80" s="35" t="s">
        <v>389</v>
      </c>
    </row>
    <row r="81" spans="2:4">
      <c r="B81" s="35"/>
    </row>
    <row r="82" spans="2:4">
      <c r="B82" t="s">
        <v>390</v>
      </c>
    </row>
    <row r="83" spans="2:4">
      <c r="B83" s="280"/>
      <c r="C83" s="280"/>
      <c r="D83" s="280"/>
    </row>
    <row r="85" spans="2:4" ht="15.75" customHeight="1"/>
  </sheetData>
  <mergeCells count="10">
    <mergeCell ref="B60:B62"/>
    <mergeCell ref="B64:B65"/>
    <mergeCell ref="B73:G73"/>
    <mergeCell ref="B83:D83"/>
    <mergeCell ref="B4:G4"/>
    <mergeCell ref="B5:G5"/>
    <mergeCell ref="B6:G6"/>
    <mergeCell ref="B8:B47"/>
    <mergeCell ref="B51:B55"/>
    <mergeCell ref="B58:G5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2856-B6E8-45C2-9BBC-4E939E5A1456}">
  <dimension ref="A1:I70"/>
  <sheetViews>
    <sheetView topLeftCell="A51" workbookViewId="0">
      <selection activeCell="G55" sqref="G55"/>
    </sheetView>
  </sheetViews>
  <sheetFormatPr defaultColWidth="9.109375" defaultRowHeight="14.4"/>
  <cols>
    <col min="1" max="1" width="3.44140625" customWidth="1"/>
    <col min="2" max="2" width="45.109375" customWidth="1"/>
    <col min="3" max="3" width="37.33203125" customWidth="1"/>
    <col min="4" max="4" width="16.6640625" customWidth="1"/>
    <col min="5" max="5" width="24.88671875" customWidth="1"/>
    <col min="6" max="6" width="15.33203125" customWidth="1"/>
    <col min="7" max="7" width="34.44140625" customWidth="1"/>
    <col min="9" max="9" width="9.44140625" bestFit="1" customWidth="1"/>
  </cols>
  <sheetData>
    <row r="1" spans="2:7" ht="30" customHeight="1">
      <c r="B1" s="9" t="s">
        <v>4</v>
      </c>
    </row>
    <row r="2" spans="2:7" ht="25.5" customHeight="1">
      <c r="B2" s="9" t="s">
        <v>5</v>
      </c>
      <c r="D2" s="11"/>
      <c r="E2" s="11"/>
    </row>
    <row r="3" spans="2:7" ht="12.75" customHeight="1">
      <c r="B3" s="9"/>
      <c r="D3" s="11"/>
      <c r="E3" s="11"/>
    </row>
    <row r="4" spans="2:7" ht="32.25" customHeight="1">
      <c r="B4" s="298" t="s">
        <v>6</v>
      </c>
      <c r="C4" s="298"/>
      <c r="D4" s="298"/>
      <c r="E4" s="298"/>
      <c r="F4" s="298"/>
      <c r="G4" s="298"/>
    </row>
    <row r="5" spans="2:7" ht="31.5" customHeight="1">
      <c r="B5" s="298" t="s">
        <v>392</v>
      </c>
      <c r="C5" s="298"/>
      <c r="D5" s="298"/>
      <c r="E5" s="298"/>
      <c r="F5" s="298"/>
      <c r="G5" s="298"/>
    </row>
    <row r="6" spans="2:7" ht="26.25" customHeight="1">
      <c r="B6" s="299" t="s">
        <v>8</v>
      </c>
      <c r="C6" s="299"/>
      <c r="D6" s="299"/>
      <c r="E6" s="299"/>
      <c r="F6" s="299"/>
      <c r="G6" s="299"/>
    </row>
    <row r="7" spans="2:7" ht="55.5" customHeight="1">
      <c r="B7" s="12" t="s">
        <v>9</v>
      </c>
      <c r="C7" s="13" t="s">
        <v>10</v>
      </c>
      <c r="D7" s="13" t="s">
        <v>11</v>
      </c>
      <c r="E7" s="13" t="s">
        <v>12</v>
      </c>
      <c r="F7" s="13" t="s">
        <v>2</v>
      </c>
      <c r="G7" s="14" t="s">
        <v>13</v>
      </c>
    </row>
    <row r="8" spans="2:7" ht="40.049999999999997" customHeight="1">
      <c r="B8" s="281" t="s">
        <v>393</v>
      </c>
      <c r="C8" s="18" t="s">
        <v>394</v>
      </c>
      <c r="D8" s="172">
        <v>0</v>
      </c>
      <c r="E8" s="172">
        <v>1.8</v>
      </c>
      <c r="F8" s="103">
        <v>0</v>
      </c>
      <c r="G8" s="37" t="s">
        <v>90</v>
      </c>
    </row>
    <row r="9" spans="2:7" ht="45" customHeight="1">
      <c r="B9" s="282"/>
      <c r="C9" s="18" t="s">
        <v>395</v>
      </c>
      <c r="D9" s="172">
        <v>257.10000000000002</v>
      </c>
      <c r="E9" s="172">
        <v>3</v>
      </c>
      <c r="F9" s="103">
        <v>4</v>
      </c>
      <c r="G9" s="55"/>
    </row>
    <row r="10" spans="2:7" ht="40.049999999999997" customHeight="1">
      <c r="B10" s="282"/>
      <c r="C10" s="18" t="s">
        <v>396</v>
      </c>
      <c r="D10" s="172">
        <v>134.4</v>
      </c>
      <c r="E10" s="172">
        <v>3</v>
      </c>
      <c r="F10" s="103">
        <v>1</v>
      </c>
      <c r="G10" s="55"/>
    </row>
    <row r="11" spans="2:7" ht="40.049999999999997" customHeight="1">
      <c r="B11" s="282"/>
      <c r="C11" s="18" t="s">
        <v>397</v>
      </c>
      <c r="D11" s="172">
        <v>63</v>
      </c>
      <c r="E11" s="172">
        <v>3</v>
      </c>
      <c r="F11" s="103">
        <v>1</v>
      </c>
      <c r="G11" s="55"/>
    </row>
    <row r="12" spans="2:7" ht="46.8" customHeight="1">
      <c r="B12" s="282"/>
      <c r="C12" s="18" t="s">
        <v>398</v>
      </c>
      <c r="D12" s="172">
        <v>65.099999999999994</v>
      </c>
      <c r="E12" s="172">
        <v>3</v>
      </c>
      <c r="F12" s="103">
        <v>1</v>
      </c>
      <c r="G12" s="55"/>
    </row>
    <row r="13" spans="2:7" ht="40.049999999999997" customHeight="1">
      <c r="B13" s="282"/>
      <c r="C13" s="18" t="s">
        <v>399</v>
      </c>
      <c r="D13" s="172">
        <v>0</v>
      </c>
      <c r="E13" s="172">
        <v>3</v>
      </c>
      <c r="F13" s="103">
        <v>2</v>
      </c>
      <c r="G13" s="55"/>
    </row>
    <row r="14" spans="2:7" ht="45.6" customHeight="1">
      <c r="B14" s="282"/>
      <c r="C14" s="18" t="s">
        <v>400</v>
      </c>
      <c r="D14" s="172">
        <v>77.7</v>
      </c>
      <c r="E14" s="172">
        <v>3</v>
      </c>
      <c r="F14" s="103">
        <v>1</v>
      </c>
      <c r="G14" s="55"/>
    </row>
    <row r="15" spans="2:7" ht="48" customHeight="1">
      <c r="B15" s="282"/>
      <c r="C15" s="18" t="s">
        <v>401</v>
      </c>
      <c r="D15" s="172">
        <v>850.5</v>
      </c>
      <c r="E15" s="172">
        <v>3</v>
      </c>
      <c r="F15" s="103">
        <v>3</v>
      </c>
      <c r="G15" s="55"/>
    </row>
    <row r="16" spans="2:7" ht="40.049999999999997" customHeight="1">
      <c r="B16" s="282"/>
      <c r="C16" s="18" t="s">
        <v>402</v>
      </c>
      <c r="D16" s="172">
        <v>114.7</v>
      </c>
      <c r="E16" s="172">
        <v>1.8</v>
      </c>
      <c r="F16" s="103">
        <v>3</v>
      </c>
      <c r="G16" s="55"/>
    </row>
    <row r="17" spans="2:7" ht="40.049999999999997" customHeight="1">
      <c r="B17" s="282"/>
      <c r="C17" s="18" t="s">
        <v>403</v>
      </c>
      <c r="D17" s="172">
        <v>0</v>
      </c>
      <c r="E17" s="172">
        <v>3</v>
      </c>
      <c r="F17" s="103">
        <v>1</v>
      </c>
      <c r="G17" s="55"/>
    </row>
    <row r="18" spans="2:7" ht="40.049999999999997" customHeight="1">
      <c r="B18" s="282"/>
      <c r="C18" s="18" t="s">
        <v>404</v>
      </c>
      <c r="D18" s="172">
        <v>701.4</v>
      </c>
      <c r="E18" s="172">
        <v>3</v>
      </c>
      <c r="F18" s="103">
        <v>1</v>
      </c>
      <c r="G18" s="55"/>
    </row>
    <row r="19" spans="2:7" ht="40.049999999999997" customHeight="1">
      <c r="B19" s="282"/>
      <c r="C19" s="18" t="s">
        <v>405</v>
      </c>
      <c r="D19" s="206">
        <v>579.9</v>
      </c>
      <c r="E19" s="172">
        <v>1.8</v>
      </c>
      <c r="F19" s="103">
        <v>2</v>
      </c>
      <c r="G19" s="55"/>
    </row>
    <row r="20" spans="2:7" ht="49.2" customHeight="1">
      <c r="B20" s="282"/>
      <c r="C20" s="18" t="s">
        <v>406</v>
      </c>
      <c r="D20" s="206">
        <v>0</v>
      </c>
      <c r="E20" s="172">
        <v>1.8</v>
      </c>
      <c r="F20" s="103">
        <v>2</v>
      </c>
      <c r="G20" s="55"/>
    </row>
    <row r="21" spans="2:7" ht="49.2" customHeight="1">
      <c r="B21" s="282"/>
      <c r="C21" s="18" t="s">
        <v>407</v>
      </c>
      <c r="D21" s="206">
        <v>0</v>
      </c>
      <c r="E21" s="172">
        <v>3</v>
      </c>
      <c r="F21" s="103">
        <v>1</v>
      </c>
      <c r="G21" s="55"/>
    </row>
    <row r="22" spans="2:7" ht="46.8" customHeight="1">
      <c r="B22" s="282"/>
      <c r="C22" s="18" t="s">
        <v>408</v>
      </c>
      <c r="D22" s="206">
        <v>181.8</v>
      </c>
      <c r="E22" s="172">
        <v>3</v>
      </c>
      <c r="F22" s="103">
        <v>1</v>
      </c>
      <c r="G22" s="55"/>
    </row>
    <row r="23" spans="2:7" ht="46.2" customHeight="1">
      <c r="B23" s="282"/>
      <c r="C23" s="18" t="s">
        <v>409</v>
      </c>
      <c r="D23" s="172">
        <v>0</v>
      </c>
      <c r="E23" s="172">
        <v>1.8</v>
      </c>
      <c r="F23" s="103">
        <v>1</v>
      </c>
      <c r="G23" s="55"/>
    </row>
    <row r="24" spans="2:7" ht="43.2" customHeight="1">
      <c r="B24" s="282"/>
      <c r="C24" s="18" t="s">
        <v>410</v>
      </c>
      <c r="D24" s="172">
        <v>0</v>
      </c>
      <c r="E24" s="172">
        <v>1.8</v>
      </c>
      <c r="F24" s="103">
        <v>1</v>
      </c>
      <c r="G24" s="55"/>
    </row>
    <row r="25" spans="2:7" ht="43.2" customHeight="1">
      <c r="B25" s="282"/>
      <c r="C25" s="18" t="s">
        <v>411</v>
      </c>
      <c r="D25" s="172">
        <v>472.5</v>
      </c>
      <c r="E25" s="172">
        <v>4.5</v>
      </c>
      <c r="F25" s="103">
        <v>3</v>
      </c>
      <c r="G25" s="55"/>
    </row>
    <row r="26" spans="2:7" ht="43.2" customHeight="1">
      <c r="B26" s="282"/>
      <c r="C26" s="18" t="s">
        <v>412</v>
      </c>
      <c r="D26" s="172">
        <v>926.1</v>
      </c>
      <c r="E26" s="172">
        <v>4.5</v>
      </c>
      <c r="F26" s="103">
        <v>1</v>
      </c>
      <c r="G26" s="55"/>
    </row>
    <row r="27" spans="2:7" ht="43.2" customHeight="1">
      <c r="B27" s="282"/>
      <c r="C27" s="18" t="s">
        <v>413</v>
      </c>
      <c r="D27" s="172">
        <v>42.8</v>
      </c>
      <c r="E27" s="172">
        <v>3</v>
      </c>
      <c r="F27" s="103">
        <v>2</v>
      </c>
      <c r="G27" s="55"/>
    </row>
    <row r="28" spans="2:7" ht="43.2" customHeight="1">
      <c r="B28" s="282"/>
      <c r="C28" s="18" t="s">
        <v>414</v>
      </c>
      <c r="D28" s="172">
        <v>924</v>
      </c>
      <c r="E28" s="172">
        <v>3</v>
      </c>
      <c r="F28" s="103">
        <v>3</v>
      </c>
      <c r="G28" s="55"/>
    </row>
    <row r="29" spans="2:7" ht="43.2" customHeight="1">
      <c r="B29" s="282"/>
      <c r="C29" s="18" t="s">
        <v>415</v>
      </c>
      <c r="D29" s="172">
        <v>90</v>
      </c>
      <c r="E29" s="172">
        <v>3</v>
      </c>
      <c r="F29" s="103">
        <v>1</v>
      </c>
      <c r="G29" s="55"/>
    </row>
    <row r="30" spans="2:7" ht="43.2" customHeight="1">
      <c r="B30" s="282"/>
      <c r="C30" s="18" t="s">
        <v>416</v>
      </c>
      <c r="D30" s="172">
        <v>4310.28</v>
      </c>
      <c r="E30" s="172">
        <v>4.5</v>
      </c>
      <c r="F30" s="103">
        <v>3</v>
      </c>
      <c r="G30" s="55"/>
    </row>
    <row r="31" spans="2:7" ht="43.2" customHeight="1">
      <c r="B31" s="282"/>
      <c r="C31" s="18" t="s">
        <v>417</v>
      </c>
      <c r="D31" s="172">
        <v>174</v>
      </c>
      <c r="E31" s="172">
        <v>3</v>
      </c>
      <c r="F31" s="103">
        <v>1</v>
      </c>
      <c r="G31" s="55"/>
    </row>
    <row r="32" spans="2:7" ht="43.2" customHeight="1">
      <c r="B32" s="282"/>
      <c r="C32" s="18" t="s">
        <v>418</v>
      </c>
      <c r="D32" s="172">
        <v>655.20000000000005</v>
      </c>
      <c r="E32" s="172">
        <v>3</v>
      </c>
      <c r="F32" s="103">
        <v>1</v>
      </c>
      <c r="G32" s="55"/>
    </row>
    <row r="33" spans="1:9" ht="43.2" customHeight="1">
      <c r="B33" s="282"/>
      <c r="C33" s="18" t="s">
        <v>419</v>
      </c>
      <c r="D33" s="172">
        <v>1165.8</v>
      </c>
      <c r="E33" s="172">
        <v>3</v>
      </c>
      <c r="F33" s="103">
        <v>3</v>
      </c>
      <c r="G33" s="55"/>
    </row>
    <row r="34" spans="1:9" ht="43.2" customHeight="1">
      <c r="B34" s="282"/>
      <c r="C34" s="18" t="s">
        <v>420</v>
      </c>
      <c r="D34" s="172">
        <v>546</v>
      </c>
      <c r="E34" s="172">
        <v>1.8</v>
      </c>
      <c r="F34" s="103">
        <v>1</v>
      </c>
      <c r="G34" s="55"/>
    </row>
    <row r="35" spans="1:9" ht="43.2" customHeight="1">
      <c r="B35" s="283"/>
      <c r="C35" s="18" t="s">
        <v>421</v>
      </c>
      <c r="D35" s="172">
        <v>0</v>
      </c>
      <c r="E35" s="172">
        <v>1.8</v>
      </c>
      <c r="F35" s="103">
        <v>0</v>
      </c>
      <c r="G35" s="37" t="s">
        <v>90</v>
      </c>
    </row>
    <row r="36" spans="1:9" ht="25.5" customHeight="1">
      <c r="B36" s="17" t="s">
        <v>61</v>
      </c>
      <c r="C36" s="18"/>
      <c r="D36" s="56">
        <f>SUM(D8:D35)</f>
        <v>12332.28</v>
      </c>
      <c r="E36" s="56">
        <f t="shared" ref="E36:F36" si="0">SUM(E8:E35)</f>
        <v>78.899999999999977</v>
      </c>
      <c r="F36" s="57">
        <f t="shared" si="0"/>
        <v>45</v>
      </c>
      <c r="G36" s="20"/>
      <c r="I36" s="200"/>
    </row>
    <row r="37" spans="1:9" ht="25.5" customHeight="1">
      <c r="B37" s="307" t="s">
        <v>62</v>
      </c>
      <c r="C37" s="203" t="s">
        <v>422</v>
      </c>
      <c r="D37" s="207">
        <v>124</v>
      </c>
      <c r="E37" s="208">
        <v>124</v>
      </c>
      <c r="F37" s="204">
        <v>1</v>
      </c>
      <c r="G37" s="20"/>
    </row>
    <row r="38" spans="1:9" ht="25.5" customHeight="1">
      <c r="B38" s="307"/>
      <c r="C38" s="203" t="s">
        <v>422</v>
      </c>
      <c r="D38" s="207">
        <v>124</v>
      </c>
      <c r="E38" s="207">
        <v>124</v>
      </c>
      <c r="F38" s="204">
        <v>1</v>
      </c>
      <c r="G38" s="20"/>
      <c r="H38" s="15"/>
    </row>
    <row r="39" spans="1:9" ht="25.5" customHeight="1">
      <c r="B39" s="18"/>
      <c r="C39" s="203" t="s">
        <v>422</v>
      </c>
      <c r="D39" s="207">
        <v>124</v>
      </c>
      <c r="E39" s="207">
        <v>124</v>
      </c>
      <c r="F39" s="204">
        <v>1</v>
      </c>
      <c r="G39" s="20"/>
      <c r="H39" s="15"/>
    </row>
    <row r="40" spans="1:9" ht="25.5" customHeight="1">
      <c r="B40" s="18"/>
      <c r="C40" s="203" t="s">
        <v>422</v>
      </c>
      <c r="D40" s="207">
        <v>124</v>
      </c>
      <c r="E40" s="207">
        <v>124</v>
      </c>
      <c r="F40" s="204">
        <v>1</v>
      </c>
      <c r="G40" s="20"/>
      <c r="H40" s="15"/>
    </row>
    <row r="41" spans="1:9" ht="25.5" customHeight="1">
      <c r="B41" s="18"/>
      <c r="C41" s="203" t="s">
        <v>422</v>
      </c>
      <c r="D41" s="207">
        <v>124</v>
      </c>
      <c r="E41" s="207">
        <v>124</v>
      </c>
      <c r="F41" s="204">
        <v>1</v>
      </c>
      <c r="G41" s="20"/>
      <c r="H41" s="15"/>
    </row>
    <row r="42" spans="1:9" ht="25.5" customHeight="1">
      <c r="B42" s="21" t="s">
        <v>61</v>
      </c>
      <c r="C42" s="21"/>
      <c r="D42" s="56">
        <f>SUM(D37:D41)</f>
        <v>620</v>
      </c>
      <c r="E42" s="56">
        <f>SUM(E37:E41)</f>
        <v>620</v>
      </c>
      <c r="F42" s="57">
        <v>5</v>
      </c>
      <c r="G42" s="20"/>
      <c r="H42" s="15"/>
    </row>
    <row r="43" spans="1:9" ht="31.5" customHeight="1">
      <c r="B43" s="305" t="s">
        <v>66</v>
      </c>
      <c r="C43" s="305"/>
      <c r="D43" s="305"/>
      <c r="E43" s="305"/>
      <c r="F43" s="305"/>
      <c r="G43" s="306"/>
    </row>
    <row r="44" spans="1:9" ht="53.25" customHeight="1">
      <c r="A44" s="8"/>
      <c r="B44" s="13" t="s">
        <v>9</v>
      </c>
      <c r="C44" s="13" t="s">
        <v>67</v>
      </c>
      <c r="D44" s="13" t="s">
        <v>11</v>
      </c>
      <c r="E44" s="13" t="s">
        <v>68</v>
      </c>
      <c r="F44" s="13" t="s">
        <v>2</v>
      </c>
      <c r="G44" s="14" t="s">
        <v>69</v>
      </c>
    </row>
    <row r="45" spans="1:9" ht="33" customHeight="1">
      <c r="B45" s="23" t="s">
        <v>70</v>
      </c>
      <c r="C45" s="24"/>
      <c r="D45" s="43">
        <v>0</v>
      </c>
      <c r="E45" s="43">
        <v>0</v>
      </c>
      <c r="F45" s="25">
        <v>0</v>
      </c>
      <c r="G45" s="37" t="s">
        <v>90</v>
      </c>
    </row>
    <row r="46" spans="1:9" ht="24.75" customHeight="1">
      <c r="B46" s="27" t="s">
        <v>61</v>
      </c>
      <c r="C46" s="28"/>
      <c r="D46" s="50">
        <f>SUM(D45)</f>
        <v>0</v>
      </c>
      <c r="E46" s="50">
        <f>SUM(E45)</f>
        <v>0</v>
      </c>
      <c r="F46" s="52">
        <f>SUM(F45)</f>
        <v>0</v>
      </c>
      <c r="G46" s="26"/>
    </row>
    <row r="47" spans="1:9" ht="24.75" customHeight="1">
      <c r="B47" s="332" t="s">
        <v>71</v>
      </c>
      <c r="C47" s="205" t="s">
        <v>423</v>
      </c>
      <c r="D47" s="209">
        <v>0</v>
      </c>
      <c r="E47" s="171">
        <v>352</v>
      </c>
      <c r="F47" s="103">
        <v>8</v>
      </c>
      <c r="G47" s="23" t="s">
        <v>424</v>
      </c>
    </row>
    <row r="48" spans="1:9" ht="24.75" customHeight="1">
      <c r="B48" s="333"/>
      <c r="C48" s="205" t="s">
        <v>425</v>
      </c>
      <c r="D48" s="209">
        <v>0</v>
      </c>
      <c r="E48" s="171">
        <v>1248</v>
      </c>
      <c r="F48" s="103">
        <v>24</v>
      </c>
      <c r="G48" s="23" t="s">
        <v>426</v>
      </c>
    </row>
    <row r="49" spans="2:7" ht="28.5" customHeight="1">
      <c r="B49" s="334"/>
      <c r="C49" s="205" t="s">
        <v>427</v>
      </c>
      <c r="D49" s="209">
        <v>0</v>
      </c>
      <c r="E49" s="171">
        <v>1400</v>
      </c>
      <c r="F49" s="103">
        <v>20</v>
      </c>
      <c r="G49" s="23" t="s">
        <v>428</v>
      </c>
    </row>
    <row r="50" spans="2:7" ht="29.25" customHeight="1">
      <c r="B50" s="27" t="s">
        <v>61</v>
      </c>
      <c r="C50" s="28"/>
      <c r="D50" s="50">
        <f>SUM(D47:D49)</f>
        <v>0</v>
      </c>
      <c r="E50" s="50">
        <f>SUM(E47:E49)</f>
        <v>3000</v>
      </c>
      <c r="F50" s="52">
        <f>SUM(F47:F49)</f>
        <v>52</v>
      </c>
      <c r="G50" s="26"/>
    </row>
    <row r="51" spans="2:7" ht="24" customHeight="1">
      <c r="B51" s="23" t="s">
        <v>76</v>
      </c>
      <c r="C51" s="24"/>
      <c r="D51" s="43">
        <v>0</v>
      </c>
      <c r="E51" s="43">
        <v>0</v>
      </c>
      <c r="F51" s="25">
        <v>0</v>
      </c>
      <c r="G51" s="37" t="s">
        <v>90</v>
      </c>
    </row>
    <row r="52" spans="2:7" ht="27" customHeight="1">
      <c r="B52" s="27" t="s">
        <v>61</v>
      </c>
      <c r="C52" s="28"/>
      <c r="D52" s="50">
        <f>SUM(D51)</f>
        <v>0</v>
      </c>
      <c r="E52" s="50">
        <f>SUM(E51)</f>
        <v>0</v>
      </c>
      <c r="F52" s="52">
        <f>SUM(F51)</f>
        <v>0</v>
      </c>
      <c r="G52" s="26"/>
    </row>
    <row r="53" spans="2:7" ht="27" customHeight="1">
      <c r="B53" s="23" t="s">
        <v>79</v>
      </c>
      <c r="C53" s="28"/>
      <c r="D53" s="44">
        <v>0</v>
      </c>
      <c r="E53" s="44">
        <v>0</v>
      </c>
      <c r="F53" s="40">
        <v>0</v>
      </c>
      <c r="G53" s="37" t="s">
        <v>90</v>
      </c>
    </row>
    <row r="54" spans="2:7" ht="16.5" customHeight="1">
      <c r="B54" s="27" t="s">
        <v>61</v>
      </c>
      <c r="C54" s="28"/>
      <c r="D54" s="50">
        <f>SUM(D53)</f>
        <v>0</v>
      </c>
      <c r="E54" s="50">
        <f>SUM(E53)</f>
        <v>0</v>
      </c>
      <c r="F54" s="52">
        <f>SUM(F53)</f>
        <v>0</v>
      </c>
      <c r="G54" s="26"/>
    </row>
    <row r="55" spans="2:7" ht="30.75" customHeight="1">
      <c r="B55" s="23" t="s">
        <v>82</v>
      </c>
      <c r="C55" s="30"/>
      <c r="D55" s="43">
        <v>0</v>
      </c>
      <c r="E55" s="43">
        <v>0</v>
      </c>
      <c r="F55" s="25">
        <v>0</v>
      </c>
      <c r="G55" s="37" t="s">
        <v>90</v>
      </c>
    </row>
    <row r="56" spans="2:7" ht="15.6">
      <c r="B56" s="27" t="s">
        <v>61</v>
      </c>
      <c r="C56" s="28"/>
      <c r="D56" s="50">
        <f>SUM(D55)</f>
        <v>0</v>
      </c>
      <c r="E56" s="50">
        <f>SUM(E55)</f>
        <v>0</v>
      </c>
      <c r="F56" s="52">
        <f>SUM(F55)</f>
        <v>0</v>
      </c>
      <c r="G56" s="26"/>
    </row>
    <row r="57" spans="2:7" ht="17.25" customHeight="1">
      <c r="B57" s="304"/>
      <c r="C57" s="304"/>
      <c r="D57" s="304"/>
      <c r="E57" s="304"/>
      <c r="F57" s="304"/>
      <c r="G57" s="304"/>
    </row>
    <row r="58" spans="2:7" ht="33" customHeight="1">
      <c r="B58" s="21" t="s">
        <v>83</v>
      </c>
      <c r="C58" s="28"/>
      <c r="D58" s="61">
        <f>D36+D42+D46+D50+D52+D54+D56</f>
        <v>12952.28</v>
      </c>
      <c r="E58" s="61">
        <f>E36+E42+E46+E50+E52+E54+E56</f>
        <v>3698.9</v>
      </c>
      <c r="F58" s="62">
        <f>F36+F42+F46+F50+F52+F54+F56</f>
        <v>102</v>
      </c>
      <c r="G58" s="26"/>
    </row>
    <row r="59" spans="2:7">
      <c r="B59" s="31"/>
      <c r="C59" s="32"/>
      <c r="D59" s="32"/>
      <c r="E59" s="32"/>
      <c r="F59" s="32"/>
    </row>
    <row r="60" spans="2:7">
      <c r="B60" s="31"/>
      <c r="C60" s="32"/>
      <c r="D60" s="32"/>
      <c r="E60" s="32"/>
      <c r="F60" s="32"/>
    </row>
    <row r="61" spans="2:7">
      <c r="B61" s="33" t="s">
        <v>431</v>
      </c>
    </row>
    <row r="62" spans="2:7">
      <c r="B62" s="33"/>
    </row>
    <row r="63" spans="2:7">
      <c r="B63" s="34" t="s">
        <v>175</v>
      </c>
    </row>
    <row r="64" spans="2:7">
      <c r="B64" s="34" t="s">
        <v>429</v>
      </c>
    </row>
    <row r="65" spans="2:4">
      <c r="B65" s="34" t="s">
        <v>430</v>
      </c>
    </row>
    <row r="66" spans="2:4">
      <c r="B66" s="35"/>
    </row>
    <row r="67" spans="2:4">
      <c r="B67" t="s">
        <v>137</v>
      </c>
    </row>
    <row r="68" spans="2:4">
      <c r="B68" s="280"/>
      <c r="C68" s="280"/>
      <c r="D68" s="280"/>
    </row>
    <row r="70" spans="2:4" ht="15.75" customHeight="1"/>
  </sheetData>
  <mergeCells count="9">
    <mergeCell ref="B47:B49"/>
    <mergeCell ref="B57:G57"/>
    <mergeCell ref="B68:D68"/>
    <mergeCell ref="B4:G4"/>
    <mergeCell ref="B5:G5"/>
    <mergeCell ref="B6:G6"/>
    <mergeCell ref="B8:B35"/>
    <mergeCell ref="B37:B38"/>
    <mergeCell ref="B43:G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TOTALI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Di Terlizzi</dc:creator>
  <cp:lastModifiedBy>Patrizia Di Terlizzi</cp:lastModifiedBy>
  <dcterms:created xsi:type="dcterms:W3CDTF">2026-03-20T09:20:40Z</dcterms:created>
  <dcterms:modified xsi:type="dcterms:W3CDTF">2026-04-01T08:19:34Z</dcterms:modified>
</cp:coreProperties>
</file>